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0005" windowHeight="12750"/>
  </bookViews>
  <sheets>
    <sheet name="СЭР" sheetId="7" r:id="rId1"/>
    <sheet name="Лист1" sheetId="8" r:id="rId2"/>
  </sheets>
  <definedNames>
    <definedName name="_xlnm.Print_Titles" localSheetId="0">СЭР!$7:$8</definedName>
  </definedNames>
  <calcPr calcId="125725"/>
</workbook>
</file>

<file path=xl/calcChain.xml><?xml version="1.0" encoding="utf-8"?>
<calcChain xmlns="http://schemas.openxmlformats.org/spreadsheetml/2006/main">
  <c r="I94" i="7"/>
  <c r="J94" s="1"/>
  <c r="K94" s="1"/>
  <c r="I93"/>
  <c r="J93" s="1"/>
  <c r="K93" s="1"/>
  <c r="I92"/>
  <c r="J92" s="1"/>
  <c r="K92" s="1"/>
  <c r="I76"/>
  <c r="J76" s="1"/>
  <c r="K76" s="1"/>
  <c r="I77"/>
  <c r="J77"/>
  <c r="K77" s="1"/>
  <c r="I78"/>
  <c r="J78" s="1"/>
  <c r="K78" s="1"/>
  <c r="I65"/>
  <c r="J65" s="1"/>
  <c r="K65" s="1"/>
  <c r="I64"/>
  <c r="J64" s="1"/>
  <c r="K64" s="1"/>
  <c r="I63"/>
  <c r="J63" s="1"/>
  <c r="K63" s="1"/>
  <c r="M61"/>
  <c r="M60"/>
  <c r="L59"/>
  <c r="M59"/>
  <c r="M51"/>
  <c r="M50"/>
  <c r="L49"/>
  <c r="M49"/>
  <c r="M47"/>
  <c r="M46"/>
  <c r="M45"/>
  <c r="I44"/>
  <c r="J44" s="1"/>
  <c r="K44" s="1"/>
  <c r="M44" s="1"/>
  <c r="I43"/>
  <c r="J43" s="1"/>
  <c r="K43" s="1"/>
  <c r="M43" s="1"/>
  <c r="L42"/>
  <c r="I42"/>
  <c r="J42" s="1"/>
  <c r="K42" s="1"/>
  <c r="M42" s="1"/>
  <c r="I72"/>
  <c r="J72" s="1"/>
  <c r="K72" s="1"/>
  <c r="I71"/>
  <c r="J71" s="1"/>
  <c r="K71" s="1"/>
  <c r="I70"/>
  <c r="J70" s="1"/>
  <c r="K70" s="1"/>
  <c r="I55"/>
  <c r="J55" s="1"/>
  <c r="K55" s="1"/>
  <c r="I54"/>
  <c r="J54" s="1"/>
  <c r="K54" s="1"/>
  <c r="I53"/>
  <c r="J53" s="1"/>
  <c r="K53" s="1"/>
  <c r="I37"/>
  <c r="J37" s="1"/>
  <c r="K37" s="1"/>
  <c r="I36"/>
  <c r="J36" s="1"/>
  <c r="K36" s="1"/>
  <c r="I35"/>
  <c r="J35" s="1"/>
  <c r="K35" s="1"/>
  <c r="I31"/>
  <c r="J31" s="1"/>
  <c r="K31" s="1"/>
  <c r="I30"/>
  <c r="J30" s="1"/>
  <c r="K30" s="1"/>
  <c r="I29"/>
  <c r="J29" s="1"/>
  <c r="K29" s="1"/>
  <c r="I25"/>
  <c r="J25" s="1"/>
  <c r="K25" s="1"/>
  <c r="M25" s="1"/>
  <c r="I24"/>
  <c r="J24" s="1"/>
  <c r="K24" s="1"/>
  <c r="M24" s="1"/>
  <c r="I23"/>
  <c r="J23" s="1"/>
  <c r="K23" s="1"/>
  <c r="M23" s="1"/>
  <c r="I19"/>
  <c r="J19" s="1"/>
  <c r="K19" s="1"/>
  <c r="I18"/>
  <c r="J18" s="1"/>
  <c r="K18" s="1"/>
  <c r="I17"/>
  <c r="J17" s="1"/>
  <c r="K17" s="1"/>
  <c r="M22"/>
  <c r="M21"/>
  <c r="M20"/>
  <c r="L23"/>
  <c r="I11"/>
  <c r="J11" s="1"/>
  <c r="K11" s="1"/>
  <c r="I12"/>
  <c r="J12" s="1"/>
  <c r="K12" s="1"/>
  <c r="I10"/>
  <c r="J10" s="1"/>
  <c r="K10" s="1"/>
  <c r="E223" i="8"/>
  <c r="F223" s="1"/>
  <c r="E220"/>
  <c r="F219"/>
  <c r="F220" s="1"/>
  <c r="E204"/>
  <c r="F203"/>
  <c r="F204" s="1"/>
  <c r="E201"/>
  <c r="E202" s="1"/>
  <c r="D201"/>
  <c r="D202" s="1"/>
  <c r="E196"/>
  <c r="E198" s="1"/>
  <c r="D196"/>
  <c r="D198" s="1"/>
  <c r="E193"/>
  <c r="F192"/>
  <c r="G192" s="1"/>
  <c r="J192" s="1"/>
  <c r="M192" s="1"/>
  <c r="E190"/>
  <c r="F189"/>
  <c r="F196" s="1"/>
  <c r="F198" s="1"/>
  <c r="I182"/>
  <c r="H182"/>
  <c r="G182"/>
  <c r="F182"/>
  <c r="E182"/>
  <c r="F177"/>
  <c r="H177" s="1"/>
  <c r="O175"/>
  <c r="N175"/>
  <c r="M175"/>
  <c r="L175"/>
  <c r="K175"/>
  <c r="J175"/>
  <c r="I175"/>
  <c r="H175"/>
  <c r="G175"/>
  <c r="O174"/>
  <c r="N174"/>
  <c r="M174"/>
  <c r="L174"/>
  <c r="K174"/>
  <c r="J174"/>
  <c r="I174"/>
  <c r="H174"/>
  <c r="G174"/>
  <c r="F174"/>
  <c r="E174"/>
  <c r="F171"/>
  <c r="E171"/>
  <c r="I170"/>
  <c r="L170" s="1"/>
  <c r="H170"/>
  <c r="K170" s="1"/>
  <c r="N170" s="1"/>
  <c r="G170"/>
  <c r="F167"/>
  <c r="H167" s="1"/>
  <c r="E165"/>
  <c r="F164"/>
  <c r="H164" s="1"/>
  <c r="K164" s="1"/>
  <c r="N164" s="1"/>
  <c r="I149"/>
  <c r="H149"/>
  <c r="L149" s="1"/>
  <c r="G149"/>
  <c r="J149" s="1"/>
  <c r="M149" s="1"/>
  <c r="N141"/>
  <c r="I141"/>
  <c r="L141" s="1"/>
  <c r="H141"/>
  <c r="F136"/>
  <c r="G136" s="1"/>
  <c r="J136" s="1"/>
  <c r="M136" s="1"/>
  <c r="I135"/>
  <c r="L135" s="1"/>
  <c r="O135" s="1"/>
  <c r="H135"/>
  <c r="K135" s="1"/>
  <c r="N135" s="1"/>
  <c r="G135"/>
  <c r="J135" s="1"/>
  <c r="M135" s="1"/>
  <c r="J125"/>
  <c r="H125"/>
  <c r="G125"/>
  <c r="I124"/>
  <c r="J124" s="1"/>
  <c r="M124" s="1"/>
  <c r="G124"/>
  <c r="M123"/>
  <c r="M125" s="1"/>
  <c r="K123"/>
  <c r="K125" s="1"/>
  <c r="F123"/>
  <c r="I123" s="1"/>
  <c r="I125" s="1"/>
  <c r="I119"/>
  <c r="L119" s="1"/>
  <c r="O119" s="1"/>
  <c r="H119"/>
  <c r="K119" s="1"/>
  <c r="N119" s="1"/>
  <c r="G119"/>
  <c r="J119" s="1"/>
  <c r="M119" s="1"/>
  <c r="I116"/>
  <c r="L116" s="1"/>
  <c r="H116"/>
  <c r="K116" s="1"/>
  <c r="G116"/>
  <c r="J116" s="1"/>
  <c r="M116" s="1"/>
  <c r="F113"/>
  <c r="E113"/>
  <c r="E110"/>
  <c r="F108"/>
  <c r="H108" s="1"/>
  <c r="E107"/>
  <c r="E105"/>
  <c r="F103"/>
  <c r="H103" s="1"/>
  <c r="E31"/>
  <c r="F29"/>
  <c r="I29" s="1"/>
  <c r="E28"/>
  <c r="D28"/>
  <c r="E26"/>
  <c r="F24"/>
  <c r="H24" s="1"/>
  <c r="K24" s="1"/>
  <c r="N24" s="1"/>
  <c r="E20"/>
  <c r="F18"/>
  <c r="G18" s="1"/>
  <c r="J18" s="1"/>
  <c r="M18" s="1"/>
  <c r="E14"/>
  <c r="E15" s="1"/>
  <c r="D14"/>
  <c r="D15" s="1"/>
  <c r="F14" l="1"/>
  <c r="F15" s="1"/>
  <c r="M112"/>
  <c r="G189"/>
  <c r="G201" s="1"/>
  <c r="G202" s="1"/>
  <c r="I112"/>
  <c r="G177"/>
  <c r="J177" s="1"/>
  <c r="M177" s="1"/>
  <c r="E224"/>
  <c r="I18"/>
  <c r="L18" s="1"/>
  <c r="O18" s="1"/>
  <c r="I136"/>
  <c r="L136" s="1"/>
  <c r="O136" s="1"/>
  <c r="I24"/>
  <c r="L24" s="1"/>
  <c r="O24" s="1"/>
  <c r="E10"/>
  <c r="E11" s="1"/>
  <c r="H112"/>
  <c r="D10"/>
  <c r="D11" s="1"/>
  <c r="I103"/>
  <c r="L103" s="1"/>
  <c r="I189"/>
  <c r="I196" s="1"/>
  <c r="I198" s="1"/>
  <c r="I199" s="1"/>
  <c r="F201"/>
  <c r="F202" s="1"/>
  <c r="E17"/>
  <c r="K149"/>
  <c r="N149" s="1"/>
  <c r="I177"/>
  <c r="L177" s="1"/>
  <c r="N177" s="1"/>
  <c r="N178" s="1"/>
  <c r="H189"/>
  <c r="K189" s="1"/>
  <c r="K201" s="1"/>
  <c r="K202" s="1"/>
  <c r="G223"/>
  <c r="H223"/>
  <c r="H224" s="1"/>
  <c r="H18"/>
  <c r="K18" s="1"/>
  <c r="N18" s="1"/>
  <c r="F107"/>
  <c r="G112"/>
  <c r="N123"/>
  <c r="N125" s="1"/>
  <c r="L124"/>
  <c r="O124" s="1"/>
  <c r="H136"/>
  <c r="K136" s="1"/>
  <c r="N136" s="1"/>
  <c r="H178"/>
  <c r="F199"/>
  <c r="F102"/>
  <c r="I164"/>
  <c r="L164" s="1"/>
  <c r="O164" s="1"/>
  <c r="H192"/>
  <c r="K192" s="1"/>
  <c r="N192" s="1"/>
  <c r="G108"/>
  <c r="J108" s="1"/>
  <c r="J107" s="1"/>
  <c r="N116"/>
  <c r="N112" s="1"/>
  <c r="K112"/>
  <c r="G15"/>
  <c r="H15"/>
  <c r="I15"/>
  <c r="I28"/>
  <c r="L29"/>
  <c r="L102"/>
  <c r="O103"/>
  <c r="O102" s="1"/>
  <c r="H107"/>
  <c r="K108"/>
  <c r="I167"/>
  <c r="L167" s="1"/>
  <c r="O167" s="1"/>
  <c r="K167"/>
  <c r="N167" s="1"/>
  <c r="G167"/>
  <c r="J167" s="1"/>
  <c r="M167" s="1"/>
  <c r="H102"/>
  <c r="K103"/>
  <c r="L178"/>
  <c r="O170"/>
  <c r="L112"/>
  <c r="O116"/>
  <c r="O112" s="1"/>
  <c r="G224"/>
  <c r="J223"/>
  <c r="E199"/>
  <c r="G24"/>
  <c r="J24" s="1"/>
  <c r="M24" s="1"/>
  <c r="F28"/>
  <c r="H29"/>
  <c r="I102"/>
  <c r="G103"/>
  <c r="I108"/>
  <c r="L123"/>
  <c r="G164"/>
  <c r="J164" s="1"/>
  <c r="M164" s="1"/>
  <c r="K177"/>
  <c r="H203"/>
  <c r="K203" s="1"/>
  <c r="N203" s="1"/>
  <c r="H219"/>
  <c r="G29"/>
  <c r="J112"/>
  <c r="J170"/>
  <c r="I192"/>
  <c r="L192" s="1"/>
  <c r="O192" s="1"/>
  <c r="G203"/>
  <c r="J203" s="1"/>
  <c r="M203" s="1"/>
  <c r="G219"/>
  <c r="I223"/>
  <c r="F224"/>
  <c r="O149"/>
  <c r="J189"/>
  <c r="I203"/>
  <c r="L203" s="1"/>
  <c r="O203" s="1"/>
  <c r="I219"/>
  <c r="K223"/>
  <c r="M86" i="7"/>
  <c r="L86"/>
  <c r="M87"/>
  <c r="M88"/>
  <c r="L10"/>
  <c r="M10"/>
  <c r="M11"/>
  <c r="M12"/>
  <c r="M13"/>
  <c r="M14"/>
  <c r="M15"/>
  <c r="L17"/>
  <c r="M17"/>
  <c r="M18"/>
  <c r="M19"/>
  <c r="M26"/>
  <c r="M27"/>
  <c r="M28"/>
  <c r="L29"/>
  <c r="M29"/>
  <c r="M30"/>
  <c r="M31"/>
  <c r="M32"/>
  <c r="M33"/>
  <c r="M34"/>
  <c r="L35"/>
  <c r="M35"/>
  <c r="M36"/>
  <c r="M37"/>
  <c r="M38"/>
  <c r="M39"/>
  <c r="M40"/>
  <c r="L63"/>
  <c r="M63"/>
  <c r="M64"/>
  <c r="M65"/>
  <c r="M66"/>
  <c r="M67"/>
  <c r="M68"/>
  <c r="L53"/>
  <c r="M53"/>
  <c r="M54"/>
  <c r="M55"/>
  <c r="M56"/>
  <c r="M57"/>
  <c r="M58"/>
  <c r="L70"/>
  <c r="M70"/>
  <c r="M71"/>
  <c r="M72"/>
  <c r="M73"/>
  <c r="M74"/>
  <c r="M75"/>
  <c r="L76"/>
  <c r="M76"/>
  <c r="M77"/>
  <c r="M78"/>
  <c r="M79"/>
  <c r="M80"/>
  <c r="M81"/>
  <c r="M90"/>
  <c r="L92"/>
  <c r="M92"/>
  <c r="M93"/>
  <c r="M94"/>
  <c r="M95"/>
  <c r="M96"/>
  <c r="M97"/>
  <c r="M82"/>
  <c r="M83"/>
  <c r="M84"/>
  <c r="G178" i="8" l="1"/>
  <c r="L189"/>
  <c r="I201"/>
  <c r="I202" s="1"/>
  <c r="N189"/>
  <c r="N201" s="1"/>
  <c r="N202" s="1"/>
  <c r="G196"/>
  <c r="G198" s="1"/>
  <c r="G199" s="1"/>
  <c r="K196"/>
  <c r="K198" s="1"/>
  <c r="H196"/>
  <c r="H198" s="1"/>
  <c r="H199" s="1"/>
  <c r="O177"/>
  <c r="O178" s="1"/>
  <c r="H201"/>
  <c r="H202" s="1"/>
  <c r="I178"/>
  <c r="E12"/>
  <c r="G107"/>
  <c r="F10"/>
  <c r="I10" s="1"/>
  <c r="L10" s="1"/>
  <c r="O10" s="1"/>
  <c r="M108"/>
  <c r="M107" s="1"/>
  <c r="H220"/>
  <c r="K219"/>
  <c r="G102"/>
  <c r="J103"/>
  <c r="N108"/>
  <c r="N107" s="1"/>
  <c r="K107"/>
  <c r="L28"/>
  <c r="O29"/>
  <c r="O28" s="1"/>
  <c r="J15"/>
  <c r="G14"/>
  <c r="J196"/>
  <c r="J198" s="1"/>
  <c r="J199" s="1"/>
  <c r="J201"/>
  <c r="J202" s="1"/>
  <c r="M189"/>
  <c r="L201"/>
  <c r="L202" s="1"/>
  <c r="O189"/>
  <c r="L196"/>
  <c r="L198" s="1"/>
  <c r="L199" s="1"/>
  <c r="G28"/>
  <c r="J29"/>
  <c r="G10"/>
  <c r="J10" s="1"/>
  <c r="M10" s="1"/>
  <c r="F11"/>
  <c r="K15"/>
  <c r="H14"/>
  <c r="I220"/>
  <c r="L219"/>
  <c r="N196"/>
  <c r="N198" s="1"/>
  <c r="G220"/>
  <c r="J219"/>
  <c r="I107"/>
  <c r="L108"/>
  <c r="H28"/>
  <c r="K29"/>
  <c r="J224"/>
  <c r="M223"/>
  <c r="M224" s="1"/>
  <c r="L15"/>
  <c r="I14"/>
  <c r="K224"/>
  <c r="N223"/>
  <c r="N224" s="1"/>
  <c r="I224"/>
  <c r="L223"/>
  <c r="M170"/>
  <c r="J178"/>
  <c r="L125"/>
  <c r="O123"/>
  <c r="O125" s="1"/>
  <c r="K102"/>
  <c r="N103"/>
  <c r="N102" s="1"/>
  <c r="K199" l="1"/>
  <c r="N199"/>
  <c r="H10"/>
  <c r="K10" s="1"/>
  <c r="N10" s="1"/>
  <c r="O15"/>
  <c r="O14" s="1"/>
  <c r="L14"/>
  <c r="L220"/>
  <c r="O219"/>
  <c r="O220" s="1"/>
  <c r="N15"/>
  <c r="N14" s="1"/>
  <c r="K14"/>
  <c r="O201"/>
  <c r="O202" s="1"/>
  <c r="O196"/>
  <c r="O198" s="1"/>
  <c r="O199" s="1"/>
  <c r="J14"/>
  <c r="M15"/>
  <c r="M14" s="1"/>
  <c r="L224"/>
  <c r="O223"/>
  <c r="O224" s="1"/>
  <c r="K28"/>
  <c r="N29"/>
  <c r="N28" s="1"/>
  <c r="M201"/>
  <c r="M202" s="1"/>
  <c r="M196"/>
  <c r="M198" s="1"/>
  <c r="M199" s="1"/>
  <c r="K220"/>
  <c r="N219"/>
  <c r="N220" s="1"/>
  <c r="J220"/>
  <c r="M219"/>
  <c r="M220" s="1"/>
  <c r="L107"/>
  <c r="O108"/>
  <c r="O107" s="1"/>
  <c r="G11"/>
  <c r="J11" s="1"/>
  <c r="M11" s="1"/>
  <c r="H11"/>
  <c r="K11" s="1"/>
  <c r="N11" s="1"/>
  <c r="I11"/>
  <c r="L11" s="1"/>
  <c r="O11" s="1"/>
  <c r="M29"/>
  <c r="M28" s="1"/>
  <c r="J28"/>
  <c r="J102"/>
  <c r="M103"/>
  <c r="M102" s="1"/>
</calcChain>
</file>

<file path=xl/sharedStrings.xml><?xml version="1.0" encoding="utf-8"?>
<sst xmlns="http://schemas.openxmlformats.org/spreadsheetml/2006/main" count="621" uniqueCount="307">
  <si>
    <t>Показатели</t>
  </si>
  <si>
    <t>Единица измерения</t>
  </si>
  <si>
    <t xml:space="preserve">млн. рублей </t>
  </si>
  <si>
    <t>%</t>
  </si>
  <si>
    <t>млн. рублей</t>
  </si>
  <si>
    <t>тыс. чел.</t>
  </si>
  <si>
    <t>в т.ч. по видам деятельности:</t>
  </si>
  <si>
    <t>оценка</t>
  </si>
  <si>
    <t>индекс промышленного производства</t>
  </si>
  <si>
    <t>млн.руб.</t>
  </si>
  <si>
    <t>факт</t>
  </si>
  <si>
    <t>Варианты прогноза</t>
  </si>
  <si>
    <t>x</t>
  </si>
  <si>
    <t>базовый</t>
  </si>
  <si>
    <t>консервативный</t>
  </si>
  <si>
    <t>Объем отгруженных товаров собственного производства, выполненных работ и услуг собственными силами по видам деятельности (итого по разделам B, C, D, E) в действующих ценах</t>
  </si>
  <si>
    <t>Раздел B "Добыча полезных ископаемых" (в действующих ценах)</t>
  </si>
  <si>
    <t>Раздел D "Обеспечение электрической энергией, газом и паром; кондиционирование воздуха" (в действующих ценах)</t>
  </si>
  <si>
    <t>Раздел E "Водоснабжение; водоотведение, организация сбора и утилизации отходов, деятельность по ликвидации загрязнений" (в действующих ценах)</t>
  </si>
  <si>
    <t>индекс производства</t>
  </si>
  <si>
    <t>индекс физического объема</t>
  </si>
  <si>
    <t>Управляющий делами</t>
  </si>
  <si>
    <t xml:space="preserve">Приложение № 1 к Бюджетному прогнозу </t>
  </si>
  <si>
    <t xml:space="preserve">Раздел C "Обрабатывающие производства" (в действующих ценах) </t>
  </si>
  <si>
    <t>% к предыдущему году в сопоставимых ценах</t>
  </si>
  <si>
    <t>Объем выполненных работ по виду экономической деятельности "Строительство" (в ценах соответствующих лет)</t>
  </si>
  <si>
    <r>
      <t xml:space="preserve">Объем платных услуг населению </t>
    </r>
    <r>
      <rPr>
        <sz val="10"/>
        <rFont val="Times New Roman"/>
        <family val="1"/>
        <charset val="204"/>
      </rPr>
      <t/>
    </r>
  </si>
  <si>
    <r>
      <t>Уровень зарегистрированной безработицы</t>
    </r>
    <r>
      <rPr>
        <sz val="12"/>
        <rFont val="Times New Roman"/>
        <family val="1"/>
        <charset val="204"/>
      </rPr>
      <t xml:space="preserve"> (на конец года)</t>
    </r>
  </si>
  <si>
    <t>Фонд заработной платы работников организаций</t>
  </si>
  <si>
    <t>Темп роста фонда заработной платы работников организаций</t>
  </si>
  <si>
    <t>% г/г</t>
  </si>
  <si>
    <t>Индекс потребительских цен на продукцию общественного питания за период с начала года</t>
  </si>
  <si>
    <t>к соответствующему периоду предыдущего года, %</t>
  </si>
  <si>
    <t xml:space="preserve">прогноз </t>
  </si>
  <si>
    <t>целевой</t>
  </si>
  <si>
    <t>Численность населения (в среднегодовом исчислении)</t>
  </si>
  <si>
    <t>муниципального образования "Парабельский район" на долгосрочный период до 2029 года</t>
  </si>
  <si>
    <t>Отчетный период (год)</t>
  </si>
  <si>
    <t>2023 год 
к 2022 году по базовому варианту</t>
  </si>
  <si>
    <t xml:space="preserve">2029 год 
к 
2023 году </t>
  </si>
  <si>
    <t xml:space="preserve"> Прогноз основных показателей социально-экономического развития Парабельского района на период с 2024 до 2029 года</t>
  </si>
  <si>
    <t>Д.А. Барсагаев</t>
  </si>
  <si>
    <t xml:space="preserve"> </t>
  </si>
  <si>
    <t>отчет</t>
  </si>
  <si>
    <t>прогноз</t>
  </si>
  <si>
    <t>1 вариант</t>
  </si>
  <si>
    <t>2 вариант</t>
  </si>
  <si>
    <t>3 вариант</t>
  </si>
  <si>
    <t>1. Промышленное производство (BCDE)</t>
  </si>
  <si>
    <t>Объем отгруженных товаров собственного производства, выполненных работ и услуг собственными силами (по полному кругу предприятий)</t>
  </si>
  <si>
    <t xml:space="preserve">млн. руб. </t>
  </si>
  <si>
    <t>Объем отгруженных товаров собственного производства, выполненных работ и услуг собственными силами (по крупным и средним предприятиям)</t>
  </si>
  <si>
    <t>Индекс промышленного производства *</t>
  </si>
  <si>
    <t>Добыча полезных ископаемых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</si>
  <si>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  (по полному кругу предприятий)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</si>
  <si>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 (по крупным и средним предприятиям)</t>
  </si>
  <si>
    <t>Индекс-дефлятор отрузки - РАЗДЕЛ B: Добыча полезных ископаемых</t>
  </si>
  <si>
    <t>% к предыдущему году</t>
  </si>
  <si>
    <t>Индекс производства - РАЗДЕЛ B: Добыча полезных ископаемых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</si>
  <si>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</t>
  </si>
  <si>
    <t>Индекс-дефлятор отрузки - 06 Добыча сырой нефти и природного газа</t>
  </si>
  <si>
    <t>Индекс производства - 06 Добыча сырой нефти и природного газа</t>
  </si>
  <si>
    <t>Объем отгруженных товаров собственного производства, выполненных работ и услуг собственными силами - 08 Добыча прочих полезных ископаемых</t>
  </si>
  <si>
    <t>Индекс-дефлятор отрузки - 08 Добыча прочих полезных ископаемых</t>
  </si>
  <si>
    <t>Индекс производства - 08 Добыча прочих полезных ископаемых</t>
  </si>
  <si>
    <t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</t>
  </si>
  <si>
    <t>Индекс-дефлятор отрузки - 09 Предоставление услуг в области добычи полезных ископаемых</t>
  </si>
  <si>
    <t>Индекс производства - 09 Предоставление услуг в области добычи полезных ископаемых</t>
  </si>
  <si>
    <t>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</si>
  <si>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 (по полному кругу предприятий)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</si>
  <si>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 (по крупным и средним предприятиям)</t>
  </si>
  <si>
    <t>Индекс-дефлятор отрузки - РАЗДЕЛ C: Обрабатывающие производства</t>
  </si>
  <si>
    <t>Индекс производства - РАЗДЕЛ C: Обрабатывающие производства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</si>
  <si>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</si>
  <si>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Индекс-дефлятор отрузки - 10 Производство пищевых продуктов</t>
  </si>
  <si>
    <t>Индекс производства - 10 Производство пищевых продуктов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</si>
  <si>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</si>
  <si>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Индекс-дефлятор отрузки - 11 Производство напитков</t>
  </si>
  <si>
    <t>Индекс производства - 11 Производство напитков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</si>
  <si>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</t>
  </si>
  <si>
    <t>Индекс-дефлятор отрузки - 13 Производство текстильных изделий</t>
  </si>
  <si>
    <t>Индекс производства - 13 Производство текстильных изделий</t>
  </si>
  <si>
    <t>Объем отгруженных товаров собственного производства, выполненных работ и услуг собственными силами - 14 Производство одежды</t>
  </si>
  <si>
    <t>Индекс-дефлятор отрузки - 14 Производство одежды</t>
  </si>
  <si>
    <t>Индекс производства - 14 Производство одежды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</si>
  <si>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</t>
  </si>
  <si>
    <t>Индекс-дефлятор отрузки - 15 Производство кожи и изделий из кожи</t>
  </si>
  <si>
    <t>Индекс производства - 15 Производство кожи и изделий из кожи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</si>
  <si>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</si>
  <si>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>Индекс-дефлятор отрузки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</si>
  <si>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>Индекс производства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</si>
  <si>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Объем отгруженных товаров собственного производства, выполненных работ и услуг собственными силами - 17 Производство бумаги и бумажных изделий </t>
  </si>
  <si>
    <t xml:space="preserve">Индекс-дефлятор отрузки - 17 Производство бумаги и бумажных изделий </t>
  </si>
  <si>
    <t xml:space="preserve">Индекс производства - 17 Производство бумаги и бумажных изделий 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</si>
  <si>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</t>
  </si>
  <si>
    <t>Индекс-дефлятор отрузки - 18 Деятельность полиграфическая и копирование носителей информации</t>
  </si>
  <si>
    <t>Индекс производства - 18 Деятельность полиграфическая и копирование носителей информации</t>
  </si>
  <si>
    <t>Объем отгруженных товаров собственного производства, выполненных работ и услуг собственными силами - 19 Производство кокса и нефтепродуктов</t>
  </si>
  <si>
    <t>Индекс-дефлятор отрузки - 19 Производство кокса и нефтепродуктов</t>
  </si>
  <si>
    <t>Индекс производства - 19 Производство кокса и нефтепродуктов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</si>
  <si>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</t>
  </si>
  <si>
    <t>Индекс-дефлятор отрузки - 20 Производство химических веществ и химических продуктов</t>
  </si>
  <si>
    <t>Индекс производства - 20 Производство химических веществ и химических продуктов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</si>
  <si>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</t>
  </si>
  <si>
    <t>Индекс-дефлятор отрузки - 21 Производство лекарственных средств и материалов, применяемых в медицинских целях</t>
  </si>
  <si>
    <t>Индекс производства - 21 Производство лекарственных средств и материалов, применяемых в медицинских целях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</si>
  <si>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</t>
  </si>
  <si>
    <t>Индекс-дефлятор отрузки - 22 Производство резиновых и пластмассовых изделий</t>
  </si>
  <si>
    <t>Индекс производства - 22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</si>
  <si>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</t>
  </si>
  <si>
    <t>Индекс-дефлятор отрузки - 23 Производство прочей неметаллической минеральной продукции</t>
  </si>
  <si>
    <t>Индекс производства - 23 Производство прочей неметаллической минеральной продукции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</si>
  <si>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</t>
  </si>
  <si>
    <t xml:space="preserve">Индекс-дефлятор отрузки - 24 Производство металлургическое </t>
  </si>
  <si>
    <t xml:space="preserve">Индекс производства - 24 Производство металлургическое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</si>
  <si>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</t>
  </si>
  <si>
    <t>Индекс-дефлятор отрузки - 25 Производство готовых металлических изделий, кроме машин и оборудования</t>
  </si>
  <si>
    <t>Индекс производства - 25 Производство готовых металлических изделий, кроме машин и оборудования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</si>
  <si>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</t>
  </si>
  <si>
    <t>Индекс-дефлятор отрузки - 26 Производство компьютеров, электронных и  оптических изделий</t>
  </si>
  <si>
    <t>Индекс производства - 26 Производство компьютеров, электронных и  оптических изделий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</si>
  <si>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</t>
  </si>
  <si>
    <t>Индекс-дефлятор отрузки - 27 Производство электрического оборудования</t>
  </si>
  <si>
    <t>Индекс производства - 27 Производство электрического оборудования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</si>
  <si>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</t>
  </si>
  <si>
    <t>Индекс-дефлятор отрузки - 28 Производство машин и оборудования, не включенных в другие группировки</t>
  </si>
  <si>
    <t>Индекс производства - 28 Производство машин и оборудования, не включенных в другие группировки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</si>
  <si>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</t>
  </si>
  <si>
    <t>Индекс-дефлятор отрузки - 29 Производство автотранспортных средств, прицепов и полуприцепов</t>
  </si>
  <si>
    <t>Индекс производства - 29 Производство автотранспортных средств, прицепов и полуприцепов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</si>
  <si>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</t>
  </si>
  <si>
    <t>Индекс-дефлятор отрузки - 30 Производство прочих транспортных средств и оборудования</t>
  </si>
  <si>
    <t>Индекс производства - 30 Производство прочих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</si>
  <si>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- 31 Производство мебели</t>
  </si>
  <si>
    <t>Индекс-дефлятор отрузки - 31 Производство мебели</t>
  </si>
  <si>
    <t>Индекс производства - 31 Производство мебели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</si>
  <si>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</si>
  <si>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>Индекс-дефлятор отрузки - 32 Производство прочих готовых изделий</t>
  </si>
  <si>
    <t>Индекс производства - 32 Производство прочих готовых изделий</t>
  </si>
  <si>
    <t>Объем отгруженных товаров собственного производства, выполненных работ и услуг собственными силами - 33 Ремонт и монтаж машин и оборудования</t>
  </si>
  <si>
    <t>Индекс-дефлятор отрузки - 33 Ремонт и монтаж машин и оборудования</t>
  </si>
  <si>
    <t>Индекс производства - 33 Ремонт и монтаж машин и оборудования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</si>
  <si>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</si>
  <si>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(по полному кругу предприятий)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</si>
  <si>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(по крупным и средним предприятиям)</t>
  </si>
  <si>
    <t>Индекс-дефлятор отгрузки - РАЗДЕЛ D: Обеспечение электрической энергией, газом и паром; кондиционирование воздуха</t>
  </si>
  <si>
    <t>Индекс производства - РАЗДЕЛ D: 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</si>
  <si>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</si>
  <si>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 (по полному кругу предприятий)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</si>
  <si>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 (по крупным и средним предприятиям)</t>
  </si>
  <si>
    <t>Индекс-дефлятор отгрузки - РАЗДЕЛ E: Водоснабжение; водоотведение, организация сбора и утилизации отходов, деятельность по ликвидации загрязнений</t>
  </si>
  <si>
    <t>Индекс производства - РАЗДЕЛ E: Водоснабжение; водоотведение, организация сбора и утилизации отходов, деятельность по ликвидации загрязнений</t>
  </si>
  <si>
    <t>2. Сельское хозяйство</t>
  </si>
  <si>
    <t>Продукция сельского хозяйства</t>
  </si>
  <si>
    <t>млн. руб.</t>
  </si>
  <si>
    <t>Индекс производства продукции сельского хозяйства</t>
  </si>
  <si>
    <t>Индекс-дефлятор продукции сельского хозяйства в хозяйствах всех категорий</t>
  </si>
  <si>
    <t>Продукция сельского хозяйства в хозяйствах всех категорий, в том числе:</t>
  </si>
  <si>
    <t>Продукция растениеводства</t>
  </si>
  <si>
    <t xml:space="preserve">млн.руб. </t>
  </si>
  <si>
    <t>Индекс производства продукции растениеводства</t>
  </si>
  <si>
    <t>Индекс-дефлятор продукции растениеводства</t>
  </si>
  <si>
    <t>Продукция животноводства</t>
  </si>
  <si>
    <t>Индекс производства продукции животноводства</t>
  </si>
  <si>
    <t>Индекс-дефлятор продукции животноводства</t>
  </si>
  <si>
    <t>3. Транспорт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</si>
  <si>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</si>
  <si>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км.</t>
  </si>
  <si>
    <t>Плотность автомобильных дорог общего пользования с твердым покрытием</t>
  </si>
  <si>
    <t>на конец года; км путей на 10000 кв.км территории</t>
  </si>
  <si>
    <t>Удельный вес автомобильных дорог с твердым покрытием в общей протяженности автомобильных дорог общего пользования</t>
  </si>
  <si>
    <t>на конец года; %</t>
  </si>
  <si>
    <t xml:space="preserve">Производство важнейших видов продукции в натуральном выражении </t>
  </si>
  <si>
    <t>Валовой сбор зерна (в весе после доработки)</t>
  </si>
  <si>
    <t>тыс. тонн</t>
  </si>
  <si>
    <t>Валовой сбор семян масличных культур – всего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</si>
  <si>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</si>
  <si>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</si>
  <si>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</si>
  <si>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</si>
  <si>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</si>
  <si>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</si>
  <si>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Древесина необработанная</t>
  </si>
  <si>
    <t>млн. куб. м</t>
  </si>
  <si>
    <t>Нефть добытая, включая газовый конденсат</t>
  </si>
  <si>
    <t>Газ природный и попутный</t>
  </si>
  <si>
    <t>млрд.куб.м.</t>
  </si>
  <si>
    <t>Мясо и субпродукты пищевые убойных животных</t>
  </si>
  <si>
    <t>Мясо и субпродукты пищевые домашней птицы</t>
  </si>
  <si>
    <t>Масло сливочное и пасты масляные</t>
  </si>
  <si>
    <t>Масло подсолнечное нерафинированное и его фракции</t>
  </si>
  <si>
    <t>Рыба и продукты рыбные переработанные и консервированные</t>
  </si>
  <si>
    <t>Водка</t>
  </si>
  <si>
    <t>тыс. дкл</t>
  </si>
  <si>
    <t>Вина столовые</t>
  </si>
  <si>
    <t>Вина плодовые столовые, кроме сидра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</si>
  <si>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</si>
  <si>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</si>
  <si>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 xml:space="preserve">Трикотажные изделия </t>
  </si>
  <si>
    <t xml:space="preserve">Обувь  </t>
  </si>
  <si>
    <t>млн.пар</t>
  </si>
  <si>
    <t>Лесоматериалы, продольно распиленные или расколотые, разделенные на слои или лущеные, толщиной более 6мм, шпалы железнодорожные или трамвайные деревянные, непропитанные</t>
  </si>
  <si>
    <t>Бензин автомобильный</t>
  </si>
  <si>
    <t>млн.тонн</t>
  </si>
  <si>
    <t>Топливо дизельное</t>
  </si>
  <si>
    <t>Масла нефтяные смазочные</t>
  </si>
  <si>
    <t>Мазут топочный</t>
  </si>
  <si>
    <t>Полимеры этилена в первичных формах</t>
  </si>
  <si>
    <t>тонн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</si>
  <si>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</si>
  <si>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</si>
  <si>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млн. условных кирпичей</t>
  </si>
  <si>
    <t>Электроэнергия</t>
  </si>
  <si>
    <t>млрд. кВт. ч.</t>
  </si>
  <si>
    <t>в том числе произведенная</t>
  </si>
  <si>
    <t>атомными электростанциями</t>
  </si>
  <si>
    <t>тепловыми электростанциями</t>
  </si>
  <si>
    <t>гидроэлектростанциями</t>
  </si>
  <si>
    <t>4. Строительство</t>
  </si>
  <si>
    <t>Объем работ, выполненных по виду экономической деятельности "Строительство" (Раздел F)</t>
  </si>
  <si>
    <t>в ценах соответствующих лет; млн. руб.</t>
  </si>
  <si>
    <t>Индекс производства по виду деятельности "Строительство" (Раздел F)</t>
  </si>
  <si>
    <t>Индекс-дефлятор по объему работ, выполненных по виду деятельности "Строительство" (Раздел F)</t>
  </si>
  <si>
    <t>Ввод в действие жилых домов</t>
  </si>
  <si>
    <t>тыс. кв. м. в общей площади</t>
  </si>
  <si>
    <t>Удельный вес жилых домов, построенных населением</t>
  </si>
  <si>
    <t>5. Инвестиции</t>
  </si>
  <si>
    <t>Инвестиции в основной капитал</t>
  </si>
  <si>
    <t>Индекс физического объема инвестиций в основной капитал</t>
  </si>
  <si>
    <t>Индекс-дефлятор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</si>
  <si>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</si>
  <si>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Индекс физического объема</t>
  </si>
  <si>
    <t>Распределение инвестиций в основной капитал по источникам финансирования (без субъектов малого предпринимательства и объема инвестиций, не наблюдаемых прямыми статистическими методами)</t>
  </si>
  <si>
    <t>Собственные средства</t>
  </si>
  <si>
    <t>Привлеченные средства</t>
  </si>
  <si>
    <t>Кредиты банков</t>
  </si>
  <si>
    <t>в том числе кредиты иностранных банков</t>
  </si>
  <si>
    <t>Заемные средства других организаций</t>
  </si>
  <si>
    <t>Бюджетные средства</t>
  </si>
  <si>
    <t>в том числе:</t>
  </si>
  <si>
    <t>федеральный бюджет</t>
  </si>
  <si>
    <t>бюджеты субъектов Российской Федерации</t>
  </si>
  <si>
    <t>из местных бюджетов</t>
  </si>
  <si>
    <t>Прочие</t>
  </si>
  <si>
    <t>6. Торговля и услуги населению</t>
  </si>
  <si>
    <t>Оборот розничной торговли</t>
  </si>
  <si>
    <t>Индекс физического объема оборота розничной торговли</t>
  </si>
  <si>
    <t>Индекс-дефлятор оборота розничной торговли</t>
  </si>
  <si>
    <t>Оборот общественного питания</t>
  </si>
  <si>
    <t>Индекс физического объема оборота общественного питания</t>
  </si>
  <si>
    <t>Распределение оборота розничной торговли по формам торговли</t>
  </si>
  <si>
    <t>Оборот розничной торговли торгующих организаций и индивидуальных предпринимателей, осуществляющих деятельность вне рынка</t>
  </si>
  <si>
    <t>Продажа на розничных рынках и ярмарках</t>
  </si>
  <si>
    <t xml:space="preserve">Оборот розничной торговли по торговым сетям </t>
  </si>
  <si>
    <t xml:space="preserve">Индекс физического объема оборота розничной торговли по торговым сетям </t>
  </si>
  <si>
    <t>% от оборота розничной торговли</t>
  </si>
  <si>
    <t>Структура оборота розничной торговли</t>
  </si>
  <si>
    <t>Пищевые продукты, включая напитки, и табачные изделия</t>
  </si>
  <si>
    <t>в ценах соответствующих лет; % от оборота розничной торговли субъекта Российской Федерации</t>
  </si>
  <si>
    <t>Непродовольственные товары</t>
  </si>
  <si>
    <t>Объем платных услуг населению</t>
  </si>
  <si>
    <t>Индекс физического объема объема платных услуг населению</t>
  </si>
  <si>
    <t>Индекс-дефлятор объема платных услуг</t>
  </si>
  <si>
    <t>7. Малое и среднее предпринимательство, включая микропредприятия</t>
  </si>
  <si>
    <t>Число малых и средних предприятий, включая микропредприятия (на конец года)</t>
  </si>
  <si>
    <t>единиц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</si>
  <si>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</si>
  <si>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Оборот малых и средних предприятий, включая микропредприятия</t>
  </si>
  <si>
    <t xml:space="preserve">млрд. руб. </t>
  </si>
  <si>
    <t>8. Население</t>
  </si>
  <si>
    <t>тыс.чел.</t>
  </si>
  <si>
    <t>Численность населения трудоспособного возраста</t>
  </si>
  <si>
    <t>Численность населения старше трудоспособного возраста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</si>
  <si>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</si>
  <si>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</si>
  <si>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</si>
  <si>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</si>
  <si>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</si>
  <si>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</si>
  <si>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>(-6,4)</t>
  </si>
  <si>
    <t>(-3,3)</t>
  </si>
  <si>
    <t>(-2,7)</t>
  </si>
  <si>
    <t>Миграционный прирост (убыль)</t>
  </si>
  <si>
    <t>тыс. чел</t>
  </si>
  <si>
    <t>(-0,004)</t>
  </si>
  <si>
    <t>(-0,006)</t>
  </si>
  <si>
    <t>(-0,030)</t>
  </si>
  <si>
    <t>(-0,010)</t>
  </si>
  <si>
    <t>9. Труд и занятость</t>
  </si>
  <si>
    <t>Номинальная начисленная среднемесячная заработная плата работников организаций</t>
  </si>
  <si>
    <t>руб/мес</t>
  </si>
  <si>
    <t>Темп номинальной начисленной среднемесячной заработной платы работников организаций</t>
  </si>
  <si>
    <t>Уровень зарегистрированной безработицы (на конец года)</t>
  </si>
  <si>
    <t>Численность безработных, зарегистрированных в  государственных учреждениях службы занятости населения (на конец года)</t>
  </si>
  <si>
    <t>* расчет индекса промышленного производства, а также индексов производства по разделам и отраслям предполагается по полному кругу предприятий</t>
  </si>
  <si>
    <t xml:space="preserve"> Прогноз основных показателей социально-экономического развития Парабельского района на период с 2024 до 2026 года</t>
  </si>
  <si>
    <r>
      <t>Топливо печное бытовое</t>
    </r>
    <r>
      <rPr>
        <b/>
        <sz val="12"/>
        <color indexed="8"/>
        <rFont val="Times New Roman"/>
        <family val="1"/>
        <charset val="204"/>
      </rPr>
      <t xml:space="preserve">, </t>
    </r>
    <r>
      <rPr>
        <sz val="12"/>
        <color indexed="8"/>
        <rFont val="Times New Roman"/>
        <family val="1"/>
        <charset val="204"/>
      </rPr>
      <t>вырабатываемое из дизельных фракций прямой перегонки и(или) вторичного происхождения, кипящих в интервале температур от 280 до 360 градусов Цельсия</t>
    </r>
  </si>
  <si>
    <t xml:space="preserve">Приложение № 1 к Бюджетному прогнозу
муниципального образования "Парабельский район" на долгосрочный период до 2029 года </t>
  </si>
  <si>
    <t>1. Промышленное производство</t>
  </si>
  <si>
    <t>2. Селькое хозяйство</t>
  </si>
  <si>
    <t>км</t>
  </si>
  <si>
    <t xml:space="preserve">Инвестиции в основной капитал </t>
  </si>
  <si>
    <t xml:space="preserve">Оборот розничной торговли </t>
  </si>
  <si>
    <t>индекс физического объема оборота розничной торговли</t>
  </si>
  <si>
    <t>индекс физического объема объема платных услуг населению</t>
  </si>
  <si>
    <t>Население, труд и занятость</t>
  </si>
  <si>
    <t>Первый заместитель Главы района -</t>
  </si>
</sst>
</file>

<file path=xl/styles.xml><?xml version="1.0" encoding="utf-8"?>
<styleSheet xmlns="http://schemas.openxmlformats.org/spreadsheetml/2006/main">
  <numFmts count="6">
    <numFmt numFmtId="164" formatCode="0.0"/>
    <numFmt numFmtId="165" formatCode="#,##0.0"/>
    <numFmt numFmtId="166" formatCode="0.0%"/>
    <numFmt numFmtId="167" formatCode="0_)"/>
    <numFmt numFmtId="168" formatCode="0.0_)"/>
    <numFmt numFmtId="169" formatCode="#,##0.000"/>
  </numFmts>
  <fonts count="34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Courier"/>
      <family val="1"/>
      <charset val="204"/>
    </font>
    <font>
      <sz val="12"/>
      <color theme="1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9" fillId="0" borderId="9" applyNumberFormat="0" applyFill="0" applyAlignment="0" applyProtection="0"/>
    <xf numFmtId="0" fontId="22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1" fillId="0" borderId="0"/>
    <xf numFmtId="167" fontId="27" fillId="0" borderId="0"/>
    <xf numFmtId="0" fontId="28" fillId="0" borderId="0"/>
  </cellStyleXfs>
  <cellXfs count="156">
    <xf numFmtId="0" fontId="0" fillId="0" borderId="0" xfId="0"/>
    <xf numFmtId="0" fontId="2" fillId="0" borderId="0" xfId="0" applyFont="1" applyFill="1" applyProtection="1"/>
    <xf numFmtId="0" fontId="25" fillId="0" borderId="0" xfId="0" applyFont="1"/>
    <xf numFmtId="0" fontId="4" fillId="0" borderId="10" xfId="0" applyFont="1" applyFill="1" applyBorder="1" applyAlignment="1" applyProtection="1">
      <alignment horizontal="center"/>
    </xf>
    <xf numFmtId="166" fontId="2" fillId="0" borderId="0" xfId="0" applyNumberFormat="1" applyFont="1" applyFill="1" applyProtection="1"/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166" fontId="2" fillId="0" borderId="0" xfId="0" applyNumberFormat="1" applyFont="1" applyFill="1" applyAlignment="1" applyProtection="1">
      <alignment vertical="center"/>
    </xf>
    <xf numFmtId="0" fontId="2" fillId="0" borderId="10" xfId="0" applyNumberFormat="1" applyFont="1" applyFill="1" applyBorder="1" applyAlignment="1" applyProtection="1">
      <alignment horizontal="center"/>
    </xf>
    <xf numFmtId="165" fontId="2" fillId="0" borderId="10" xfId="0" applyNumberFormat="1" applyFont="1" applyFill="1" applyBorder="1" applyAlignment="1" applyProtection="1"/>
    <xf numFmtId="0" fontId="0" fillId="0" borderId="0" xfId="0" applyFill="1"/>
    <xf numFmtId="49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wrapText="1"/>
    </xf>
    <xf numFmtId="165" fontId="2" fillId="0" borderId="10" xfId="0" applyNumberFormat="1" applyFont="1" applyFill="1" applyBorder="1" applyAlignment="1" applyProtection="1">
      <alignment vertical="center"/>
    </xf>
    <xf numFmtId="165" fontId="2" fillId="0" borderId="10" xfId="0" applyNumberFormat="1" applyFont="1" applyFill="1" applyBorder="1" applyAlignment="1" applyProtection="1">
      <alignment horizontal="center"/>
    </xf>
    <xf numFmtId="0" fontId="26" fillId="0" borderId="0" xfId="0" applyFont="1" applyFill="1"/>
    <xf numFmtId="0" fontId="4" fillId="0" borderId="10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right" vertical="center"/>
    </xf>
    <xf numFmtId="0" fontId="4" fillId="0" borderId="10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Fill="1" applyBorder="1" applyAlignment="1" applyProtection="1">
      <alignment vertical="center"/>
    </xf>
    <xf numFmtId="4" fontId="2" fillId="0" borderId="10" xfId="0" applyNumberFormat="1" applyFont="1" applyFill="1" applyBorder="1" applyAlignment="1" applyProtection="1">
      <alignment vertical="top"/>
    </xf>
    <xf numFmtId="165" fontId="2" fillId="0" borderId="10" xfId="0" applyNumberFormat="1" applyFont="1" applyFill="1" applyBorder="1" applyAlignment="1" applyProtection="1">
      <alignment horizontal="center" vertical="center"/>
    </xf>
    <xf numFmtId="165" fontId="23" fillId="0" borderId="10" xfId="0" applyNumberFormat="1" applyFont="1" applyFill="1" applyBorder="1" applyAlignment="1" applyProtection="1">
      <alignment vertical="center"/>
    </xf>
    <xf numFmtId="165" fontId="23" fillId="0" borderId="10" xfId="0" applyNumberFormat="1" applyFont="1" applyFill="1" applyBorder="1" applyAlignment="1" applyProtection="1">
      <alignment vertical="top"/>
    </xf>
    <xf numFmtId="165" fontId="2" fillId="0" borderId="10" xfId="0" applyNumberFormat="1" applyFont="1" applyFill="1" applyBorder="1" applyAlignment="1" applyProtection="1">
      <alignment vertical="top"/>
    </xf>
    <xf numFmtId="165" fontId="23" fillId="0" borderId="10" xfId="0" applyNumberFormat="1" applyFont="1" applyFill="1" applyBorder="1" applyAlignment="1" applyProtection="1"/>
    <xf numFmtId="0" fontId="2" fillId="0" borderId="0" xfId="0" applyFont="1"/>
    <xf numFmtId="0" fontId="29" fillId="0" borderId="10" xfId="0" applyFont="1" applyFill="1" applyBorder="1" applyAlignment="1" applyProtection="1">
      <alignment horizontal="centerContinuous" vertical="center" wrapText="1"/>
    </xf>
    <xf numFmtId="0" fontId="29" fillId="0" borderId="10" xfId="0" applyFont="1" applyFill="1" applyBorder="1" applyAlignment="1" applyProtection="1">
      <alignment horizontal="center" vertical="center" wrapText="1"/>
    </xf>
    <xf numFmtId="0" fontId="29" fillId="0" borderId="10" xfId="0" applyFont="1" applyFill="1" applyBorder="1" applyAlignment="1" applyProtection="1">
      <alignment horizontal="left" vertical="center" wrapText="1" shrinkToFit="1"/>
    </xf>
    <xf numFmtId="0" fontId="2" fillId="0" borderId="10" xfId="0" applyFont="1" applyFill="1" applyBorder="1" applyAlignment="1" applyProtection="1">
      <alignment horizontal="center" vertical="center" wrapText="1"/>
    </xf>
    <xf numFmtId="0" fontId="23" fillId="0" borderId="10" xfId="0" applyFont="1" applyFill="1" applyBorder="1" applyAlignment="1" applyProtection="1">
      <alignment horizontal="center" vertical="center" wrapText="1"/>
    </xf>
    <xf numFmtId="4" fontId="23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/>
    <xf numFmtId="165" fontId="29" fillId="24" borderId="10" xfId="0" applyNumberFormat="1" applyFont="1" applyFill="1" applyBorder="1" applyAlignment="1" applyProtection="1">
      <alignment horizontal="center" vertical="center" wrapText="1"/>
    </xf>
    <xf numFmtId="0" fontId="23" fillId="0" borderId="10" xfId="0" applyFont="1" applyFill="1" applyBorder="1" applyAlignment="1" applyProtection="1">
      <alignment horizontal="left" vertical="center" wrapText="1" shrinkToFit="1"/>
    </xf>
    <xf numFmtId="165" fontId="23" fillId="24" borderId="10" xfId="0" applyNumberFormat="1" applyFont="1" applyFill="1" applyBorder="1" applyAlignment="1" applyProtection="1">
      <alignment horizontal="center" vertical="center" wrapText="1"/>
    </xf>
    <xf numFmtId="165" fontId="23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 shrinkToFit="1"/>
    </xf>
    <xf numFmtId="164" fontId="23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/>
    <xf numFmtId="0" fontId="24" fillId="25" borderId="10" xfId="0" applyFont="1" applyFill="1" applyBorder="1" applyAlignment="1" applyProtection="1">
      <alignment horizontal="left" vertical="center" wrapText="1" shrinkToFit="1"/>
    </xf>
    <xf numFmtId="0" fontId="24" fillId="25" borderId="10" xfId="0" applyFont="1" applyFill="1" applyBorder="1" applyAlignment="1" applyProtection="1">
      <alignment horizontal="center" vertical="center" wrapText="1"/>
    </xf>
    <xf numFmtId="4" fontId="29" fillId="25" borderId="10" xfId="0" applyNumberFormat="1" applyFont="1" applyFill="1" applyBorder="1" applyAlignment="1" applyProtection="1">
      <alignment horizontal="center" vertical="center" wrapText="1"/>
    </xf>
    <xf numFmtId="165" fontId="30" fillId="25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left" vertical="center" wrapText="1" shrinkToFit="1"/>
    </xf>
    <xf numFmtId="164" fontId="23" fillId="24" borderId="10" xfId="0" applyNumberFormat="1" applyFont="1" applyFill="1" applyBorder="1" applyAlignment="1" applyProtection="1">
      <alignment horizontal="center" vertical="center" wrapText="1"/>
    </xf>
    <xf numFmtId="164" fontId="2" fillId="24" borderId="10" xfId="0" applyNumberFormat="1" applyFont="1" applyFill="1" applyBorder="1" applyAlignment="1">
      <alignment horizontal="center" vertical="center"/>
    </xf>
    <xf numFmtId="0" fontId="2" fillId="24" borderId="10" xfId="0" applyFont="1" applyFill="1" applyBorder="1" applyAlignment="1">
      <alignment horizontal="center" vertical="center"/>
    </xf>
    <xf numFmtId="0" fontId="31" fillId="0" borderId="0" xfId="0" applyFont="1"/>
    <xf numFmtId="0" fontId="31" fillId="0" borderId="10" xfId="0" applyFont="1" applyFill="1" applyBorder="1" applyAlignment="1" applyProtection="1">
      <alignment horizontal="left" vertical="center" wrapText="1" shrinkToFit="1"/>
    </xf>
    <xf numFmtId="0" fontId="31" fillId="0" borderId="10" xfId="0" applyFont="1" applyFill="1" applyBorder="1" applyAlignment="1" applyProtection="1">
      <alignment horizontal="center" vertical="center" wrapText="1"/>
    </xf>
    <xf numFmtId="2" fontId="23" fillId="24" borderId="10" xfId="0" applyNumberFormat="1" applyFont="1" applyFill="1" applyBorder="1" applyAlignment="1" applyProtection="1">
      <alignment horizontal="center" vertical="center" wrapText="1"/>
      <protection locked="0"/>
    </xf>
    <xf numFmtId="165" fontId="32" fillId="24" borderId="10" xfId="0" applyNumberFormat="1" applyFont="1" applyFill="1" applyBorder="1" applyAlignment="1" applyProtection="1">
      <alignment horizontal="center" vertical="center" wrapText="1"/>
      <protection locked="0"/>
    </xf>
    <xf numFmtId="164" fontId="32" fillId="24" borderId="10" xfId="0" applyNumberFormat="1" applyFont="1" applyFill="1" applyBorder="1" applyAlignment="1" applyProtection="1">
      <alignment horizontal="center" vertical="center" wrapText="1"/>
      <protection locked="0"/>
    </xf>
    <xf numFmtId="164" fontId="2" fillId="24" borderId="10" xfId="44" applyNumberFormat="1" applyFont="1" applyFill="1" applyBorder="1" applyAlignment="1">
      <alignment horizontal="center" vertical="center"/>
    </xf>
    <xf numFmtId="168" fontId="4" fillId="0" borderId="0" xfId="44" applyNumberFormat="1" applyFont="1" applyFill="1" applyBorder="1" applyAlignment="1">
      <alignment horizontal="center" vertical="center"/>
    </xf>
    <xf numFmtId="165" fontId="32" fillId="24" borderId="10" xfId="0" applyNumberFormat="1" applyFont="1" applyFill="1" applyBorder="1" applyAlignment="1" applyProtection="1">
      <alignment horizontal="center" vertical="center" wrapText="1"/>
    </xf>
    <xf numFmtId="0" fontId="30" fillId="25" borderId="10" xfId="0" applyFont="1" applyFill="1" applyBorder="1" applyAlignment="1" applyProtection="1">
      <alignment horizontal="center" vertical="center" wrapText="1"/>
    </xf>
    <xf numFmtId="165" fontId="23" fillId="0" borderId="10" xfId="0" applyNumberFormat="1" applyFont="1" applyFill="1" applyBorder="1" applyAlignment="1" applyProtection="1">
      <alignment horizontal="center" vertical="center" wrapText="1"/>
    </xf>
    <xf numFmtId="0" fontId="31" fillId="0" borderId="0" xfId="0" applyFont="1" applyFill="1"/>
    <xf numFmtId="0" fontId="32" fillId="0" borderId="10" xfId="0" applyFont="1" applyFill="1" applyBorder="1" applyAlignment="1" applyProtection="1">
      <alignment horizontal="center" vertical="center" wrapText="1"/>
    </xf>
    <xf numFmtId="165" fontId="32" fillId="0" borderId="10" xfId="0" applyNumberFormat="1" applyFont="1" applyFill="1" applyBorder="1" applyAlignment="1" applyProtection="1">
      <alignment horizontal="center" vertical="center" wrapText="1"/>
    </xf>
    <xf numFmtId="165" fontId="32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0" xfId="0" applyNumberFormat="1" applyFont="1"/>
    <xf numFmtId="165" fontId="3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5" borderId="10" xfId="0" applyFont="1" applyFill="1" applyBorder="1" applyAlignment="1">
      <alignment horizontal="left" vertical="center" wrapText="1" shrinkToFit="1"/>
    </xf>
    <xf numFmtId="0" fontId="29" fillId="25" borderId="10" xfId="0" applyFont="1" applyFill="1" applyBorder="1" applyAlignment="1">
      <alignment horizontal="center" vertical="center" wrapText="1" shrinkToFit="1"/>
    </xf>
    <xf numFmtId="165" fontId="29" fillId="25" borderId="10" xfId="0" applyNumberFormat="1" applyFont="1" applyFill="1" applyBorder="1" applyAlignment="1">
      <alignment horizontal="center" vertical="center" wrapText="1" shrinkToFit="1"/>
    </xf>
    <xf numFmtId="2" fontId="33" fillId="0" borderId="10" xfId="0" applyNumberFormat="1" applyFont="1" applyBorder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165" fontId="29" fillId="0" borderId="10" xfId="0" applyNumberFormat="1" applyFont="1" applyFill="1" applyBorder="1" applyAlignment="1" applyProtection="1">
      <alignment horizontal="center" vertical="center" wrapText="1"/>
    </xf>
    <xf numFmtId="165" fontId="2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0" xfId="0" applyFont="1" applyFill="1" applyBorder="1" applyAlignment="1">
      <alignment horizontal="center" vertical="center" wrapText="1" shrinkToFit="1"/>
    </xf>
    <xf numFmtId="165" fontId="23" fillId="0" borderId="10" xfId="0" applyNumberFormat="1" applyFont="1" applyFill="1" applyBorder="1" applyAlignment="1">
      <alignment horizontal="center" vertical="center" wrapText="1" shrinkToFit="1"/>
    </xf>
    <xf numFmtId="4" fontId="23" fillId="0" borderId="10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 applyProtection="1">
      <alignment horizontal="left" vertical="center" wrapText="1" shrinkToFit="1"/>
    </xf>
    <xf numFmtId="0" fontId="23" fillId="0" borderId="10" xfId="0" applyFont="1" applyFill="1" applyBorder="1" applyAlignment="1">
      <alignment horizontal="left" vertical="center" wrapText="1" shrinkToFit="1"/>
    </xf>
    <xf numFmtId="169" fontId="23" fillId="0" borderId="10" xfId="0" applyNumberFormat="1" applyFont="1" applyFill="1" applyBorder="1" applyAlignment="1" applyProtection="1">
      <alignment horizontal="center" vertical="center" wrapText="1"/>
    </xf>
    <xf numFmtId="169" fontId="23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10" xfId="0" applyNumberFormat="1" applyFont="1" applyFill="1" applyBorder="1" applyAlignment="1" applyProtection="1">
      <alignment horizontal="center" vertical="center" wrapText="1" shrinkToFit="1"/>
      <protection locked="0"/>
    </xf>
    <xf numFmtId="0" fontId="29" fillId="0" borderId="10" xfId="0" applyFont="1" applyFill="1" applyBorder="1" applyAlignment="1">
      <alignment horizontal="left" vertical="center" wrapText="1" shrinkToFit="1"/>
    </xf>
    <xf numFmtId="0" fontId="23" fillId="0" borderId="10" xfId="0" applyFont="1" applyFill="1" applyBorder="1" applyAlignment="1">
      <alignment horizontal="center" vertical="center" wrapText="1"/>
    </xf>
    <xf numFmtId="165" fontId="23" fillId="0" borderId="10" xfId="0" applyNumberFormat="1" applyFont="1" applyFill="1" applyBorder="1" applyAlignment="1">
      <alignment horizontal="center" vertical="center" wrapText="1"/>
    </xf>
    <xf numFmtId="2" fontId="2" fillId="0" borderId="10" xfId="45" applyNumberFormat="1" applyFont="1" applyFill="1" applyBorder="1" applyAlignment="1">
      <alignment horizontal="center" vertical="center"/>
    </xf>
    <xf numFmtId="4" fontId="2" fillId="0" borderId="10" xfId="45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wrapText="1"/>
    </xf>
    <xf numFmtId="0" fontId="2" fillId="0" borderId="10" xfId="0" applyFont="1" applyFill="1" applyBorder="1" applyAlignment="1">
      <alignment vertical="center" wrapText="1"/>
    </xf>
    <xf numFmtId="165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 shrinkToFit="1"/>
    </xf>
    <xf numFmtId="0" fontId="2" fillId="0" borderId="10" xfId="0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 shrinkToFit="1"/>
    </xf>
    <xf numFmtId="165" fontId="2" fillId="0" borderId="10" xfId="0" applyNumberFormat="1" applyFont="1" applyFill="1" applyBorder="1" applyAlignment="1" applyProtection="1">
      <alignment vertical="center" wrapText="1"/>
    </xf>
    <xf numFmtId="0" fontId="2" fillId="0" borderId="10" xfId="0" applyNumberFormat="1" applyFont="1" applyFill="1" applyBorder="1" applyAlignment="1" applyProtection="1">
      <alignment horizontal="center" vertical="center"/>
    </xf>
    <xf numFmtId="165" fontId="2" fillId="0" borderId="10" xfId="0" applyNumberFormat="1" applyFont="1" applyFill="1" applyBorder="1" applyAlignment="1" applyProtection="1">
      <protection locked="0"/>
    </xf>
    <xf numFmtId="49" fontId="4" fillId="0" borderId="14" xfId="0" applyNumberFormat="1" applyFont="1" applyFill="1" applyBorder="1" applyAlignment="1" applyProtection="1">
      <alignment horizontal="center" vertical="center" wrapText="1"/>
    </xf>
    <xf numFmtId="49" fontId="4" fillId="0" borderId="15" xfId="0" applyNumberFormat="1" applyFont="1" applyFill="1" applyBorder="1" applyAlignment="1" applyProtection="1">
      <alignment horizontal="center" vertical="center" wrapText="1"/>
    </xf>
    <xf numFmtId="49" fontId="4" fillId="0" borderId="16" xfId="0" applyNumberFormat="1" applyFont="1" applyFill="1" applyBorder="1" applyAlignment="1" applyProtection="1">
      <alignment horizontal="center" vertical="center" wrapText="1"/>
    </xf>
    <xf numFmtId="49" fontId="4" fillId="0" borderId="11" xfId="0" applyNumberFormat="1" applyFont="1" applyFill="1" applyBorder="1" applyAlignment="1" applyProtection="1">
      <alignment horizontal="left" vertical="center" wrapText="1"/>
    </xf>
    <xf numFmtId="49" fontId="4" fillId="0" borderId="13" xfId="0" applyNumberFormat="1" applyFont="1" applyFill="1" applyBorder="1" applyAlignment="1" applyProtection="1">
      <alignment horizontal="left" vertical="center" wrapText="1"/>
    </xf>
    <xf numFmtId="49" fontId="4" fillId="0" borderId="12" xfId="0" applyNumberFormat="1" applyFont="1" applyFill="1" applyBorder="1" applyAlignment="1" applyProtection="1">
      <alignment horizontal="left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165" fontId="23" fillId="0" borderId="10" xfId="0" applyNumberFormat="1" applyFont="1" applyFill="1" applyBorder="1" applyAlignment="1" applyProtection="1">
      <alignment horizontal="center" vertical="center"/>
    </xf>
    <xf numFmtId="164" fontId="2" fillId="0" borderId="11" xfId="0" applyNumberFormat="1" applyFont="1" applyFill="1" applyBorder="1" applyAlignment="1" applyProtection="1">
      <alignment horizontal="center" vertical="center"/>
    </xf>
    <xf numFmtId="164" fontId="2" fillId="0" borderId="13" xfId="0" applyNumberFormat="1" applyFont="1" applyFill="1" applyBorder="1" applyAlignment="1" applyProtection="1">
      <alignment horizontal="center" vertical="center"/>
    </xf>
    <xf numFmtId="164" fontId="2" fillId="0" borderId="12" xfId="0" applyNumberFormat="1" applyFont="1" applyFill="1" applyBorder="1" applyAlignment="1" applyProtection="1">
      <alignment horizontal="center" vertical="center"/>
    </xf>
    <xf numFmtId="49" fontId="2" fillId="0" borderId="11" xfId="0" applyNumberFormat="1" applyFont="1" applyFill="1" applyBorder="1" applyAlignment="1" applyProtection="1">
      <alignment horizontal="left" vertical="center" wrapText="1"/>
    </xf>
    <xf numFmtId="49" fontId="2" fillId="0" borderId="13" xfId="0" applyNumberFormat="1" applyFont="1" applyFill="1" applyBorder="1" applyAlignment="1" applyProtection="1">
      <alignment horizontal="left" vertical="center" wrapText="1"/>
    </xf>
    <xf numFmtId="49" fontId="2" fillId="0" borderId="12" xfId="0" applyNumberFormat="1" applyFont="1" applyFill="1" applyBorder="1" applyAlignment="1" applyProtection="1">
      <alignment horizontal="left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13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49" fontId="24" fillId="0" borderId="11" xfId="0" applyNumberFormat="1" applyFont="1" applyFill="1" applyBorder="1" applyAlignment="1" applyProtection="1">
      <alignment horizontal="left" vertical="center" wrapText="1"/>
    </xf>
    <xf numFmtId="49" fontId="24" fillId="0" borderId="13" xfId="0" applyNumberFormat="1" applyFont="1" applyFill="1" applyBorder="1" applyAlignment="1" applyProtection="1">
      <alignment horizontal="left" vertical="center" wrapText="1"/>
    </xf>
    <xf numFmtId="49" fontId="24" fillId="0" borderId="12" xfId="0" applyNumberFormat="1" applyFont="1" applyFill="1" applyBorder="1" applyAlignment="1" applyProtection="1">
      <alignment horizontal="left" vertical="center" wrapText="1"/>
    </xf>
    <xf numFmtId="165" fontId="2" fillId="0" borderId="1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righ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center" vertical="center"/>
    </xf>
    <xf numFmtId="4" fontId="2" fillId="0" borderId="10" xfId="0" applyNumberFormat="1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165" fontId="2" fillId="0" borderId="11" xfId="0" applyNumberFormat="1" applyFont="1" applyFill="1" applyBorder="1" applyAlignment="1" applyProtection="1">
      <alignment horizontal="center" vertical="center" wrapText="1"/>
    </xf>
    <xf numFmtId="165" fontId="2" fillId="0" borderId="13" xfId="0" applyNumberFormat="1" applyFont="1" applyFill="1" applyBorder="1" applyAlignment="1" applyProtection="1">
      <alignment horizontal="center" vertical="center" wrapText="1"/>
    </xf>
    <xf numFmtId="165" fontId="2" fillId="0" borderId="12" xfId="0" applyNumberFormat="1" applyFont="1" applyFill="1" applyBorder="1" applyAlignment="1" applyProtection="1">
      <alignment horizontal="center" vertical="center" wrapText="1"/>
    </xf>
    <xf numFmtId="0" fontId="24" fillId="0" borderId="11" xfId="0" applyFont="1" applyFill="1" applyBorder="1" applyAlignment="1" applyProtection="1">
      <alignment horizontal="left" vertical="center" wrapText="1"/>
    </xf>
    <xf numFmtId="0" fontId="24" fillId="0" borderId="13" xfId="0" applyFont="1" applyFill="1" applyBorder="1" applyAlignment="1" applyProtection="1">
      <alignment horizontal="left" vertical="center" wrapText="1"/>
    </xf>
    <xf numFmtId="0" fontId="24" fillId="0" borderId="12" xfId="0" applyFont="1" applyFill="1" applyBorder="1" applyAlignment="1" applyProtection="1">
      <alignment horizontal="left" vertical="center" wrapText="1"/>
    </xf>
    <xf numFmtId="0" fontId="3" fillId="0" borderId="11" xfId="0" applyNumberFormat="1" applyFont="1" applyFill="1" applyBorder="1" applyAlignment="1" applyProtection="1">
      <alignment horizontal="center" wrapText="1"/>
    </xf>
    <xf numFmtId="0" fontId="3" fillId="0" borderId="13" xfId="0" applyNumberFormat="1" applyFont="1" applyFill="1" applyBorder="1" applyAlignment="1" applyProtection="1">
      <alignment horizontal="center" wrapText="1"/>
    </xf>
    <xf numFmtId="0" fontId="3" fillId="0" borderId="12" xfId="0" applyNumberFormat="1" applyFont="1" applyFill="1" applyBorder="1" applyAlignment="1" applyProtection="1">
      <alignment horizontal="center" wrapText="1"/>
    </xf>
    <xf numFmtId="165" fontId="2" fillId="0" borderId="10" xfId="0" applyNumberFormat="1" applyFont="1" applyFill="1" applyBorder="1" applyAlignment="1" applyProtection="1">
      <alignment horizontal="center"/>
      <protection locked="0"/>
    </xf>
    <xf numFmtId="164" fontId="2" fillId="0" borderId="11" xfId="0" applyNumberFormat="1" applyFont="1" applyFill="1" applyBorder="1" applyAlignment="1" applyProtection="1">
      <alignment horizontal="center"/>
    </xf>
    <xf numFmtId="164" fontId="2" fillId="0" borderId="13" xfId="0" applyNumberFormat="1" applyFont="1" applyFill="1" applyBorder="1" applyAlignment="1" applyProtection="1">
      <alignment horizontal="center"/>
    </xf>
    <xf numFmtId="164" fontId="2" fillId="0" borderId="12" xfId="0" applyNumberFormat="1" applyFont="1" applyFill="1" applyBorder="1" applyAlignment="1" applyProtection="1">
      <alignment horizontal="center"/>
    </xf>
    <xf numFmtId="0" fontId="29" fillId="0" borderId="14" xfId="0" applyFont="1" applyFill="1" applyBorder="1" applyAlignment="1" applyProtection="1">
      <alignment horizontal="center" vertical="center" wrapText="1"/>
    </xf>
    <xf numFmtId="0" fontId="29" fillId="0" borderId="15" xfId="0" applyFont="1" applyFill="1" applyBorder="1" applyAlignment="1" applyProtection="1">
      <alignment horizontal="center" vertical="center" wrapText="1"/>
    </xf>
    <xf numFmtId="0" fontId="29" fillId="0" borderId="16" xfId="0" applyFont="1" applyFill="1" applyBorder="1" applyAlignment="1" applyProtection="1">
      <alignment horizontal="center" vertical="center" wrapText="1"/>
    </xf>
    <xf numFmtId="0" fontId="29" fillId="0" borderId="10" xfId="0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Fill="1" applyAlignment="1" applyProtection="1">
      <alignment horizontal="right" vertical="center" wrapText="1"/>
    </xf>
    <xf numFmtId="0" fontId="29" fillId="0" borderId="11" xfId="0" applyFont="1" applyFill="1" applyBorder="1" applyAlignment="1" applyProtection="1">
      <alignment horizontal="center" vertical="center" wrapText="1"/>
    </xf>
    <xf numFmtId="0" fontId="29" fillId="0" borderId="13" xfId="0" applyFont="1" applyFill="1" applyBorder="1" applyAlignment="1" applyProtection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9" fillId="0" borderId="12" xfId="0" applyFont="1" applyFill="1" applyBorder="1" applyAlignment="1" applyProtection="1">
      <alignment horizontal="center" vertical="center" wrapText="1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 25 2" xfId="44"/>
    <cellStyle name="Обычный 4" xfId="45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Стиль 1" xfId="40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0"/>
  <sheetViews>
    <sheetView tabSelected="1" view="pageBreakPreview" topLeftCell="A39" zoomScale="85" zoomScaleNormal="100" zoomScaleSheetLayoutView="85" zoomScalePageLayoutView="85" workbookViewId="0">
      <selection activeCell="A70" sqref="A70:A72"/>
    </sheetView>
  </sheetViews>
  <sheetFormatPr defaultRowHeight="15.75"/>
  <cols>
    <col min="1" max="1" width="37.7109375" style="1" customWidth="1"/>
    <col min="2" max="2" width="15.5703125" style="1" customWidth="1"/>
    <col min="3" max="3" width="16.5703125" style="1" customWidth="1"/>
    <col min="4" max="4" width="9.42578125" style="1" customWidth="1"/>
    <col min="5" max="5" width="9.5703125" style="8" customWidth="1"/>
    <col min="6" max="6" width="10.140625" style="1" bestFit="1" customWidth="1"/>
    <col min="7" max="8" width="10.7109375" style="1" bestFit="1" customWidth="1"/>
    <col min="9" max="9" width="12.5703125" style="1" bestFit="1" customWidth="1"/>
    <col min="10" max="11" width="11.28515625" style="1" bestFit="1" customWidth="1"/>
    <col min="12" max="12" width="12.85546875" style="1" customWidth="1"/>
    <col min="13" max="13" width="11.140625" style="1" customWidth="1"/>
  </cols>
  <sheetData>
    <row r="1" spans="1:13">
      <c r="A1" s="123" t="s">
        <v>22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>
      <c r="A2" s="8"/>
      <c r="B2" s="123" t="s">
        <v>36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</row>
    <row r="3" spans="1:13">
      <c r="A3" s="5"/>
      <c r="B3" s="5"/>
      <c r="C3" s="5"/>
      <c r="D3" s="5"/>
      <c r="E3" s="7"/>
      <c r="F3" s="5"/>
      <c r="G3" s="5"/>
      <c r="H3" s="5"/>
      <c r="I3" s="5"/>
      <c r="J3" s="5"/>
      <c r="K3" s="6"/>
      <c r="L3" s="6"/>
      <c r="M3" s="6"/>
    </row>
    <row r="4" spans="1:13" ht="15.75" customHeight="1">
      <c r="A4" s="132" t="s">
        <v>40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</row>
    <row r="5" spans="1:13">
      <c r="A5" s="132"/>
      <c r="B5" s="132"/>
      <c r="C5" s="132"/>
      <c r="D5" s="132"/>
      <c r="E5" s="132"/>
      <c r="F5" s="132"/>
      <c r="G5" s="132"/>
    </row>
    <row r="6" spans="1:13">
      <c r="A6" s="129" t="s">
        <v>0</v>
      </c>
      <c r="B6" s="129" t="s">
        <v>1</v>
      </c>
      <c r="C6" s="129" t="s">
        <v>11</v>
      </c>
      <c r="D6" s="130" t="s">
        <v>37</v>
      </c>
      <c r="E6" s="130"/>
      <c r="F6" s="130"/>
      <c r="G6" s="130"/>
      <c r="H6" s="130"/>
      <c r="I6" s="130"/>
      <c r="J6" s="130"/>
      <c r="K6" s="130"/>
      <c r="L6" s="131" t="s">
        <v>38</v>
      </c>
      <c r="M6" s="131" t="s">
        <v>39</v>
      </c>
    </row>
    <row r="7" spans="1:13" ht="15.75" customHeight="1">
      <c r="A7" s="129"/>
      <c r="B7" s="129"/>
      <c r="C7" s="129"/>
      <c r="D7" s="3">
        <v>2022</v>
      </c>
      <c r="E7" s="3">
        <v>2023</v>
      </c>
      <c r="F7" s="3">
        <v>2024</v>
      </c>
      <c r="G7" s="3">
        <v>2025</v>
      </c>
      <c r="H7" s="3">
        <v>2026</v>
      </c>
      <c r="I7" s="3">
        <v>2027</v>
      </c>
      <c r="J7" s="3">
        <v>2028</v>
      </c>
      <c r="K7" s="3">
        <v>2029</v>
      </c>
      <c r="L7" s="131"/>
      <c r="M7" s="131"/>
    </row>
    <row r="8" spans="1:13" s="12" customFormat="1" ht="48.75" customHeight="1">
      <c r="A8" s="129"/>
      <c r="B8" s="129"/>
      <c r="C8" s="129"/>
      <c r="D8" s="18" t="s">
        <v>10</v>
      </c>
      <c r="E8" s="18" t="s">
        <v>7</v>
      </c>
      <c r="F8" s="128" t="s">
        <v>33</v>
      </c>
      <c r="G8" s="128"/>
      <c r="H8" s="128"/>
      <c r="I8" s="128"/>
      <c r="J8" s="128"/>
      <c r="K8" s="128"/>
      <c r="L8" s="131"/>
      <c r="M8" s="131"/>
    </row>
    <row r="9" spans="1:13" s="12" customFormat="1">
      <c r="A9" s="100" t="s">
        <v>298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2"/>
    </row>
    <row r="10" spans="1:13" s="12" customFormat="1" ht="37.5" customHeight="1">
      <c r="A10" s="103" t="s">
        <v>15</v>
      </c>
      <c r="B10" s="106" t="s">
        <v>2</v>
      </c>
      <c r="C10" s="10" t="s">
        <v>14</v>
      </c>
      <c r="D10" s="122">
        <v>76482.5</v>
      </c>
      <c r="E10" s="122">
        <v>66519.8</v>
      </c>
      <c r="F10" s="15">
        <v>68744.7</v>
      </c>
      <c r="G10" s="15">
        <v>73070.5</v>
      </c>
      <c r="H10" s="15">
        <v>77745</v>
      </c>
      <c r="I10" s="15">
        <f>H10*I13/100</f>
        <v>79844.115000000005</v>
      </c>
      <c r="J10" s="15">
        <f t="shared" ref="J10" si="0">I10*J13/100</f>
        <v>81999.906105000002</v>
      </c>
      <c r="K10" s="15">
        <f>J10*K13/100</f>
        <v>84213.903569834991</v>
      </c>
      <c r="L10" s="110">
        <f>E10/D10*100</f>
        <v>86.973882914392192</v>
      </c>
      <c r="M10" s="11">
        <f>K10/E10*100</f>
        <v>126.59975461416748</v>
      </c>
    </row>
    <row r="11" spans="1:13" s="12" customFormat="1" ht="37.5" customHeight="1">
      <c r="A11" s="104"/>
      <c r="B11" s="107"/>
      <c r="C11" s="10" t="s">
        <v>13</v>
      </c>
      <c r="D11" s="122"/>
      <c r="E11" s="122"/>
      <c r="F11" s="15">
        <v>71387.399999999994</v>
      </c>
      <c r="G11" s="15">
        <v>76249</v>
      </c>
      <c r="H11" s="15">
        <v>81442.3</v>
      </c>
      <c r="I11" s="15">
        <f t="shared" ref="I11:K11" si="1">H11*I14/100</f>
        <v>83885.569000000003</v>
      </c>
      <c r="J11" s="15">
        <f t="shared" si="1"/>
        <v>86402.136070000008</v>
      </c>
      <c r="K11" s="15">
        <f t="shared" si="1"/>
        <v>88994.200152100006</v>
      </c>
      <c r="L11" s="111"/>
      <c r="M11" s="11">
        <f>K11/E10*100</f>
        <v>133.78603085412163</v>
      </c>
    </row>
    <row r="12" spans="1:13" s="12" customFormat="1" ht="37.5" customHeight="1">
      <c r="A12" s="105"/>
      <c r="B12" s="108"/>
      <c r="C12" s="10" t="s">
        <v>34</v>
      </c>
      <c r="D12" s="122"/>
      <c r="E12" s="122"/>
      <c r="F12" s="15">
        <v>71596.3</v>
      </c>
      <c r="G12" s="15">
        <v>76546.5</v>
      </c>
      <c r="H12" s="15">
        <v>81760.100000000006</v>
      </c>
      <c r="I12" s="15">
        <f t="shared" ref="I12:K12" si="2">H12*I15/100</f>
        <v>84212.903000000006</v>
      </c>
      <c r="J12" s="15">
        <f t="shared" si="2"/>
        <v>86739.29009000001</v>
      </c>
      <c r="K12" s="15">
        <f t="shared" si="2"/>
        <v>89341.468792700005</v>
      </c>
      <c r="L12" s="112"/>
      <c r="M12" s="11">
        <f>K12/E10*100</f>
        <v>134.30808389787703</v>
      </c>
    </row>
    <row r="13" spans="1:13" s="12" customFormat="1" ht="15.75" customHeight="1">
      <c r="A13" s="113" t="s">
        <v>8</v>
      </c>
      <c r="B13" s="116" t="s">
        <v>24</v>
      </c>
      <c r="C13" s="10" t="s">
        <v>14</v>
      </c>
      <c r="D13" s="122">
        <v>90.5</v>
      </c>
      <c r="E13" s="122">
        <v>100.2</v>
      </c>
      <c r="F13" s="15">
        <v>98.8</v>
      </c>
      <c r="G13" s="15">
        <v>102.5</v>
      </c>
      <c r="H13" s="11">
        <v>102.7</v>
      </c>
      <c r="I13" s="11">
        <v>102.7</v>
      </c>
      <c r="J13" s="11">
        <v>102.7</v>
      </c>
      <c r="K13" s="11">
        <v>102.7</v>
      </c>
      <c r="L13" s="110"/>
      <c r="M13" s="11">
        <f>K13/E13*100</f>
        <v>102.49500998003992</v>
      </c>
    </row>
    <row r="14" spans="1:13" s="12" customFormat="1" ht="15.75" customHeight="1">
      <c r="A14" s="114"/>
      <c r="B14" s="117"/>
      <c r="C14" s="10" t="s">
        <v>13</v>
      </c>
      <c r="D14" s="122"/>
      <c r="E14" s="122"/>
      <c r="F14" s="15">
        <v>102.5</v>
      </c>
      <c r="G14" s="15">
        <v>102.9</v>
      </c>
      <c r="H14" s="11">
        <v>103</v>
      </c>
      <c r="I14" s="11">
        <v>103</v>
      </c>
      <c r="J14" s="11">
        <v>103</v>
      </c>
      <c r="K14" s="11">
        <v>103</v>
      </c>
      <c r="L14" s="111"/>
      <c r="M14" s="11">
        <f>K14/E13*100</f>
        <v>102.79441117764472</v>
      </c>
    </row>
    <row r="15" spans="1:13" s="12" customFormat="1" ht="18.75" customHeight="1">
      <c r="A15" s="115"/>
      <c r="B15" s="118"/>
      <c r="C15" s="10" t="s">
        <v>34</v>
      </c>
      <c r="D15" s="122"/>
      <c r="E15" s="122"/>
      <c r="F15" s="15">
        <v>102.8</v>
      </c>
      <c r="G15" s="15">
        <v>103</v>
      </c>
      <c r="H15" s="11">
        <v>103</v>
      </c>
      <c r="I15" s="11">
        <v>103</v>
      </c>
      <c r="J15" s="11">
        <v>103</v>
      </c>
      <c r="K15" s="11">
        <v>103</v>
      </c>
      <c r="L15" s="112"/>
      <c r="M15" s="11">
        <f>K15/E13*100</f>
        <v>102.79441117764472</v>
      </c>
    </row>
    <row r="16" spans="1:13" s="12" customFormat="1">
      <c r="A16" s="13" t="s">
        <v>6</v>
      </c>
      <c r="B16" s="14"/>
      <c r="C16" s="14"/>
      <c r="D16" s="11"/>
      <c r="E16" s="11"/>
      <c r="F16" s="11"/>
      <c r="G16" s="11"/>
      <c r="H16" s="11"/>
      <c r="I16" s="11"/>
      <c r="J16" s="11"/>
      <c r="K16" s="11"/>
      <c r="L16" s="15"/>
      <c r="M16" s="11"/>
    </row>
    <row r="17" spans="1:13" s="12" customFormat="1" ht="15.75" customHeight="1">
      <c r="A17" s="119" t="s">
        <v>16</v>
      </c>
      <c r="B17" s="106" t="s">
        <v>2</v>
      </c>
      <c r="C17" s="10" t="s">
        <v>14</v>
      </c>
      <c r="D17" s="109">
        <v>71664.7</v>
      </c>
      <c r="E17" s="109">
        <v>61648.08</v>
      </c>
      <c r="F17" s="24">
        <v>60860.5</v>
      </c>
      <c r="G17" s="24">
        <v>63816.6</v>
      </c>
      <c r="H17" s="25">
        <v>67046.7</v>
      </c>
      <c r="I17" s="15">
        <f>H17*I20/100</f>
        <v>68521.727400000003</v>
      </c>
      <c r="J17" s="15">
        <f t="shared" ref="J17" si="3">I17*J20/100</f>
        <v>70029.205402799998</v>
      </c>
      <c r="K17" s="15">
        <f>J17*K20/100</f>
        <v>71569.847921661611</v>
      </c>
      <c r="L17" s="110">
        <f>E17/D17*100</f>
        <v>86.022937373630256</v>
      </c>
      <c r="M17" s="11">
        <f>K17/E17*100</f>
        <v>116.09420426663995</v>
      </c>
    </row>
    <row r="18" spans="1:13" s="12" customFormat="1" ht="15.75" customHeight="1">
      <c r="A18" s="120"/>
      <c r="B18" s="107"/>
      <c r="C18" s="10" t="s">
        <v>13</v>
      </c>
      <c r="D18" s="109"/>
      <c r="E18" s="109"/>
      <c r="F18" s="24">
        <v>65142.5</v>
      </c>
      <c r="G18" s="24">
        <v>68707.100000000006</v>
      </c>
      <c r="H18" s="26">
        <v>72183.7</v>
      </c>
      <c r="I18" s="15">
        <f t="shared" ref="I18:K18" si="4">H18*I21/100</f>
        <v>73627.373999999996</v>
      </c>
      <c r="J18" s="15">
        <f t="shared" si="4"/>
        <v>75099.921480000005</v>
      </c>
      <c r="K18" s="15">
        <f t="shared" si="4"/>
        <v>76601.919909599994</v>
      </c>
      <c r="L18" s="111"/>
      <c r="M18" s="11">
        <f>K18/E17*100</f>
        <v>124.25678124866175</v>
      </c>
    </row>
    <row r="19" spans="1:13" s="12" customFormat="1">
      <c r="A19" s="121"/>
      <c r="B19" s="108"/>
      <c r="C19" s="10" t="s">
        <v>34</v>
      </c>
      <c r="D19" s="109"/>
      <c r="E19" s="109"/>
      <c r="F19" s="24">
        <v>65396.3</v>
      </c>
      <c r="G19" s="24">
        <v>69512.7</v>
      </c>
      <c r="H19" s="27">
        <v>73528.399999999994</v>
      </c>
      <c r="I19" s="15">
        <f t="shared" ref="I19:K19" si="5">H19*I22/100</f>
        <v>75146.024799999999</v>
      </c>
      <c r="J19" s="15">
        <f t="shared" si="5"/>
        <v>76799.237345599991</v>
      </c>
      <c r="K19" s="15">
        <f t="shared" si="5"/>
        <v>78488.820567203191</v>
      </c>
      <c r="L19" s="112"/>
      <c r="M19" s="11">
        <f>K19/E17*100</f>
        <v>127.31754268292408</v>
      </c>
    </row>
    <row r="20" spans="1:13" s="12" customFormat="1">
      <c r="A20" s="113" t="s">
        <v>8</v>
      </c>
      <c r="B20" s="116" t="s">
        <v>24</v>
      </c>
      <c r="C20" s="10" t="s">
        <v>14</v>
      </c>
      <c r="D20" s="122">
        <v>96.6</v>
      </c>
      <c r="E20" s="122">
        <v>98.1</v>
      </c>
      <c r="F20" s="15">
        <v>95.2</v>
      </c>
      <c r="G20" s="15">
        <v>102.2</v>
      </c>
      <c r="H20" s="27">
        <v>102.2</v>
      </c>
      <c r="I20" s="27">
        <v>102.2</v>
      </c>
      <c r="J20" s="27">
        <v>102.2</v>
      </c>
      <c r="K20" s="27">
        <v>102.2</v>
      </c>
      <c r="L20" s="110"/>
      <c r="M20" s="11">
        <f>K20/E20*100</f>
        <v>104.17940876656473</v>
      </c>
    </row>
    <row r="21" spans="1:13" s="12" customFormat="1">
      <c r="A21" s="114"/>
      <c r="B21" s="117"/>
      <c r="C21" s="10" t="s">
        <v>13</v>
      </c>
      <c r="D21" s="122"/>
      <c r="E21" s="122"/>
      <c r="F21" s="15">
        <v>101.8</v>
      </c>
      <c r="G21" s="15">
        <v>102.4</v>
      </c>
      <c r="H21" s="26">
        <v>102</v>
      </c>
      <c r="I21" s="26">
        <v>102</v>
      </c>
      <c r="J21" s="26">
        <v>102</v>
      </c>
      <c r="K21" s="26">
        <v>102</v>
      </c>
      <c r="L21" s="111"/>
      <c r="M21" s="11">
        <f>K21/E20*100</f>
        <v>103.97553516819573</v>
      </c>
    </row>
    <row r="22" spans="1:13" s="12" customFormat="1" ht="19.5" customHeight="1">
      <c r="A22" s="115"/>
      <c r="B22" s="118"/>
      <c r="C22" s="10" t="s">
        <v>34</v>
      </c>
      <c r="D22" s="122"/>
      <c r="E22" s="122"/>
      <c r="F22" s="15">
        <v>102</v>
      </c>
      <c r="G22" s="15">
        <v>102.7</v>
      </c>
      <c r="H22" s="27">
        <v>102.2</v>
      </c>
      <c r="I22" s="27">
        <v>102.2</v>
      </c>
      <c r="J22" s="27">
        <v>102.2</v>
      </c>
      <c r="K22" s="27">
        <v>102.2</v>
      </c>
      <c r="L22" s="112"/>
      <c r="M22" s="11">
        <f>K22/E20*100</f>
        <v>104.17940876656473</v>
      </c>
    </row>
    <row r="23" spans="1:13" s="12" customFormat="1" ht="15.75" customHeight="1">
      <c r="A23" s="119" t="s">
        <v>23</v>
      </c>
      <c r="B23" s="106" t="s">
        <v>2</v>
      </c>
      <c r="C23" s="10" t="s">
        <v>14</v>
      </c>
      <c r="D23" s="133">
        <v>4372.1000000000004</v>
      </c>
      <c r="E23" s="133">
        <v>4389.5</v>
      </c>
      <c r="F23" s="97">
        <v>4654.3</v>
      </c>
      <c r="G23" s="97">
        <v>5004.8999999999996</v>
      </c>
      <c r="H23" s="25">
        <v>5376.9</v>
      </c>
      <c r="I23" s="15">
        <f>H23*I26/100</f>
        <v>5554.3376999999991</v>
      </c>
      <c r="J23" s="15">
        <f t="shared" ref="J23" si="6">I23*J26/100</f>
        <v>5737.6308440999992</v>
      </c>
      <c r="K23" s="15">
        <f>J23*K26/100</f>
        <v>5926.9726619552994</v>
      </c>
      <c r="L23" s="110">
        <f>E23/D23*100</f>
        <v>100.39797808833283</v>
      </c>
      <c r="M23" s="11">
        <f>K23/E23*100</f>
        <v>135.02614561921175</v>
      </c>
    </row>
    <row r="24" spans="1:13" s="12" customFormat="1" ht="15.75" customHeight="1">
      <c r="A24" s="120"/>
      <c r="B24" s="107"/>
      <c r="C24" s="10" t="s">
        <v>13</v>
      </c>
      <c r="D24" s="134"/>
      <c r="E24" s="134"/>
      <c r="F24" s="97">
        <v>4700.3999999999996</v>
      </c>
      <c r="G24" s="97">
        <v>5074.1000000000004</v>
      </c>
      <c r="H24" s="26">
        <v>5477.6</v>
      </c>
      <c r="I24" s="15">
        <f t="shared" ref="I24:K24" si="7">H24*I27/100</f>
        <v>5680.2712000000001</v>
      </c>
      <c r="J24" s="15">
        <f t="shared" si="7"/>
        <v>5890.4412344000002</v>
      </c>
      <c r="K24" s="15">
        <f t="shared" si="7"/>
        <v>6108.3875600728006</v>
      </c>
      <c r="L24" s="111"/>
      <c r="M24" s="11">
        <f>K24/E23*100</f>
        <v>139.15907415589021</v>
      </c>
    </row>
    <row r="25" spans="1:13" s="12" customFormat="1">
      <c r="A25" s="121"/>
      <c r="B25" s="108"/>
      <c r="C25" s="10" t="s">
        <v>34</v>
      </c>
      <c r="D25" s="135"/>
      <c r="E25" s="135"/>
      <c r="F25" s="97">
        <v>4714.2</v>
      </c>
      <c r="G25" s="97">
        <v>5098.7</v>
      </c>
      <c r="H25" s="27">
        <v>5525.4</v>
      </c>
      <c r="I25" s="15">
        <f t="shared" ref="I25:K25" si="8">H25*I28/100</f>
        <v>5740.8905999999997</v>
      </c>
      <c r="J25" s="15">
        <f t="shared" si="8"/>
        <v>5964.7853333999992</v>
      </c>
      <c r="K25" s="15">
        <f t="shared" si="8"/>
        <v>6197.4119614025994</v>
      </c>
      <c r="L25" s="112"/>
      <c r="M25" s="11">
        <f>K25/E23*100</f>
        <v>141.18719584013212</v>
      </c>
    </row>
    <row r="26" spans="1:13" s="12" customFormat="1">
      <c r="A26" s="113" t="s">
        <v>8</v>
      </c>
      <c r="B26" s="116" t="s">
        <v>24</v>
      </c>
      <c r="C26" s="10" t="s">
        <v>14</v>
      </c>
      <c r="D26" s="122">
        <v>116.3</v>
      </c>
      <c r="E26" s="122">
        <v>99.8</v>
      </c>
      <c r="F26" s="15">
        <v>100.6</v>
      </c>
      <c r="G26" s="15">
        <v>103</v>
      </c>
      <c r="H26" s="27">
        <v>103.3</v>
      </c>
      <c r="I26" s="27">
        <v>103.3</v>
      </c>
      <c r="J26" s="27">
        <v>103.3</v>
      </c>
      <c r="K26" s="27">
        <v>103.3</v>
      </c>
      <c r="L26" s="110"/>
      <c r="M26" s="11">
        <f>K26/E26*100</f>
        <v>103.5070140280561</v>
      </c>
    </row>
    <row r="27" spans="1:13" s="12" customFormat="1">
      <c r="A27" s="114"/>
      <c r="B27" s="117"/>
      <c r="C27" s="10" t="s">
        <v>13</v>
      </c>
      <c r="D27" s="122"/>
      <c r="E27" s="122"/>
      <c r="F27" s="15">
        <v>101.5</v>
      </c>
      <c r="G27" s="15">
        <v>103.4</v>
      </c>
      <c r="H27" s="26">
        <v>103.7</v>
      </c>
      <c r="I27" s="26">
        <v>103.7</v>
      </c>
      <c r="J27" s="26">
        <v>103.7</v>
      </c>
      <c r="K27" s="26">
        <v>103.7</v>
      </c>
      <c r="L27" s="111"/>
      <c r="M27" s="11">
        <f>K27/E26*100</f>
        <v>103.90781563126252</v>
      </c>
    </row>
    <row r="28" spans="1:13" s="12" customFormat="1" ht="19.5" customHeight="1">
      <c r="A28" s="115"/>
      <c r="B28" s="118"/>
      <c r="C28" s="10" t="s">
        <v>34</v>
      </c>
      <c r="D28" s="122"/>
      <c r="E28" s="122"/>
      <c r="F28" s="15">
        <v>101.7</v>
      </c>
      <c r="G28" s="15">
        <v>103.5</v>
      </c>
      <c r="H28" s="27">
        <v>103.9</v>
      </c>
      <c r="I28" s="27">
        <v>103.9</v>
      </c>
      <c r="J28" s="27">
        <v>103.9</v>
      </c>
      <c r="K28" s="27">
        <v>103.9</v>
      </c>
      <c r="L28" s="112"/>
      <c r="M28" s="11">
        <f>K28/E26*100</f>
        <v>104.10821643286575</v>
      </c>
    </row>
    <row r="29" spans="1:13" s="12" customFormat="1">
      <c r="A29" s="119" t="s">
        <v>17</v>
      </c>
      <c r="B29" s="106" t="s">
        <v>2</v>
      </c>
      <c r="C29" s="10" t="s">
        <v>14</v>
      </c>
      <c r="D29" s="122">
        <v>394.7</v>
      </c>
      <c r="E29" s="122">
        <v>427.9</v>
      </c>
      <c r="F29" s="15">
        <v>450.3</v>
      </c>
      <c r="G29" s="15">
        <v>473.9</v>
      </c>
      <c r="H29" s="27">
        <v>498.2</v>
      </c>
      <c r="I29" s="15">
        <f>H29*I32/100</f>
        <v>502.68380000000002</v>
      </c>
      <c r="J29" s="15">
        <f t="shared" ref="J29" si="9">I29*J32/100</f>
        <v>507.20795420000002</v>
      </c>
      <c r="K29" s="15">
        <f>J29*K32/100</f>
        <v>511.7728257878</v>
      </c>
      <c r="L29" s="110">
        <f>E29/D29*100</f>
        <v>108.41145173549532</v>
      </c>
      <c r="M29" s="11">
        <f>K29/E29*100</f>
        <v>119.60103430422997</v>
      </c>
    </row>
    <row r="30" spans="1:13" s="12" customFormat="1">
      <c r="A30" s="120"/>
      <c r="B30" s="107"/>
      <c r="C30" s="10" t="s">
        <v>13</v>
      </c>
      <c r="D30" s="122"/>
      <c r="E30" s="122"/>
      <c r="F30" s="15">
        <v>452.1</v>
      </c>
      <c r="G30" s="15">
        <v>477.6</v>
      </c>
      <c r="H30" s="26">
        <v>504.2</v>
      </c>
      <c r="I30" s="15">
        <f t="shared" ref="I30:K30" si="10">H30*I33/100</f>
        <v>510.75459999999998</v>
      </c>
      <c r="J30" s="15">
        <f t="shared" si="10"/>
        <v>517.39440979999995</v>
      </c>
      <c r="K30" s="15">
        <f t="shared" si="10"/>
        <v>524.12053712739998</v>
      </c>
      <c r="L30" s="111"/>
      <c r="M30" s="11">
        <f>K30/E29*100</f>
        <v>122.48668780729142</v>
      </c>
    </row>
    <row r="31" spans="1:13" s="12" customFormat="1">
      <c r="A31" s="121"/>
      <c r="B31" s="108"/>
      <c r="C31" s="10" t="s">
        <v>34</v>
      </c>
      <c r="D31" s="122"/>
      <c r="E31" s="122"/>
      <c r="F31" s="15">
        <v>455.6</v>
      </c>
      <c r="G31" s="15">
        <v>485.2</v>
      </c>
      <c r="H31" s="27">
        <v>516.20000000000005</v>
      </c>
      <c r="I31" s="15">
        <f t="shared" ref="I31:K31" si="11">H31*I34/100</f>
        <v>526.524</v>
      </c>
      <c r="J31" s="15">
        <f t="shared" si="11"/>
        <v>537.05448000000001</v>
      </c>
      <c r="K31" s="15">
        <f t="shared" si="11"/>
        <v>547.79556960000002</v>
      </c>
      <c r="L31" s="112"/>
      <c r="M31" s="11">
        <f>K31/E29*100</f>
        <v>128.0195301706006</v>
      </c>
    </row>
    <row r="32" spans="1:13" s="12" customFormat="1">
      <c r="A32" s="113" t="s">
        <v>8</v>
      </c>
      <c r="B32" s="116" t="s">
        <v>24</v>
      </c>
      <c r="C32" s="10" t="s">
        <v>14</v>
      </c>
      <c r="D32" s="122">
        <v>85.7</v>
      </c>
      <c r="E32" s="122">
        <v>101.5</v>
      </c>
      <c r="F32" s="15">
        <v>100.9</v>
      </c>
      <c r="G32" s="15">
        <v>100.9</v>
      </c>
      <c r="H32" s="26">
        <v>100.9</v>
      </c>
      <c r="I32" s="26">
        <v>100.9</v>
      </c>
      <c r="J32" s="26">
        <v>100.9</v>
      </c>
      <c r="K32" s="26">
        <v>100.9</v>
      </c>
      <c r="L32" s="110"/>
      <c r="M32" s="11">
        <f>K32/E32*100</f>
        <v>99.408866995073893</v>
      </c>
    </row>
    <row r="33" spans="1:13" s="12" customFormat="1">
      <c r="A33" s="114"/>
      <c r="B33" s="117"/>
      <c r="C33" s="10" t="s">
        <v>13</v>
      </c>
      <c r="D33" s="122"/>
      <c r="E33" s="122"/>
      <c r="F33" s="15">
        <v>101.3</v>
      </c>
      <c r="G33" s="15">
        <v>101.3</v>
      </c>
      <c r="H33" s="26">
        <v>101.3</v>
      </c>
      <c r="I33" s="26">
        <v>101.3</v>
      </c>
      <c r="J33" s="26">
        <v>101.3</v>
      </c>
      <c r="K33" s="26">
        <v>101.3</v>
      </c>
      <c r="L33" s="111"/>
      <c r="M33" s="11">
        <f>K33/E32*100</f>
        <v>99.802955665024626</v>
      </c>
    </row>
    <row r="34" spans="1:13" s="12" customFormat="1" ht="19.5" customHeight="1">
      <c r="A34" s="115"/>
      <c r="B34" s="118"/>
      <c r="C34" s="10" t="s">
        <v>34</v>
      </c>
      <c r="D34" s="122"/>
      <c r="E34" s="122"/>
      <c r="F34" s="15">
        <v>102</v>
      </c>
      <c r="G34" s="15">
        <v>102</v>
      </c>
      <c r="H34" s="26">
        <v>102</v>
      </c>
      <c r="I34" s="26">
        <v>102</v>
      </c>
      <c r="J34" s="26">
        <v>102</v>
      </c>
      <c r="K34" s="26">
        <v>102</v>
      </c>
      <c r="L34" s="112"/>
      <c r="M34" s="11">
        <f>K34/E32*100</f>
        <v>100.49261083743843</v>
      </c>
    </row>
    <row r="35" spans="1:13" s="12" customFormat="1">
      <c r="A35" s="136" t="s">
        <v>18</v>
      </c>
      <c r="B35" s="106" t="s">
        <v>2</v>
      </c>
      <c r="C35" s="10" t="s">
        <v>14</v>
      </c>
      <c r="D35" s="122">
        <v>51</v>
      </c>
      <c r="E35" s="122">
        <v>54.3</v>
      </c>
      <c r="F35" s="15">
        <v>57.8</v>
      </c>
      <c r="G35" s="15">
        <v>61.3</v>
      </c>
      <c r="H35" s="11">
        <v>65</v>
      </c>
      <c r="I35" s="15">
        <f>H35*I38/100</f>
        <v>66.17</v>
      </c>
      <c r="J35" s="15">
        <f t="shared" ref="J35" si="12">I35*J38/100</f>
        <v>67.361059999999995</v>
      </c>
      <c r="K35" s="15">
        <f>J35*K38/100</f>
        <v>68.573559079999995</v>
      </c>
      <c r="L35" s="110">
        <f>E35/D35*100</f>
        <v>106.47058823529412</v>
      </c>
      <c r="M35" s="11">
        <f>K35/E35*100</f>
        <v>126.28648081031308</v>
      </c>
    </row>
    <row r="36" spans="1:13" s="12" customFormat="1">
      <c r="A36" s="137"/>
      <c r="B36" s="107"/>
      <c r="C36" s="10" t="s">
        <v>13</v>
      </c>
      <c r="D36" s="122"/>
      <c r="E36" s="122"/>
      <c r="F36" s="15">
        <v>57.9</v>
      </c>
      <c r="G36" s="15">
        <v>61.6</v>
      </c>
      <c r="H36" s="26">
        <v>65.400000000000006</v>
      </c>
      <c r="I36" s="15">
        <f t="shared" ref="I36:K36" si="13">H36*I39/100</f>
        <v>66.707999999999998</v>
      </c>
      <c r="J36" s="15">
        <f t="shared" si="13"/>
        <v>68.042159999999996</v>
      </c>
      <c r="K36" s="15">
        <f t="shared" si="13"/>
        <v>69.403003200000001</v>
      </c>
      <c r="L36" s="111"/>
      <c r="M36" s="11">
        <f>K36/E35*100</f>
        <v>127.81400220994476</v>
      </c>
    </row>
    <row r="37" spans="1:13" s="12" customFormat="1">
      <c r="A37" s="138"/>
      <c r="B37" s="108"/>
      <c r="C37" s="10" t="s">
        <v>34</v>
      </c>
      <c r="D37" s="122"/>
      <c r="E37" s="122"/>
      <c r="F37" s="15">
        <v>58.1</v>
      </c>
      <c r="G37" s="15">
        <v>62</v>
      </c>
      <c r="H37" s="11">
        <v>66.5</v>
      </c>
      <c r="I37" s="15">
        <f t="shared" ref="I37:K37" si="14">H37*I40/100</f>
        <v>67.963000000000008</v>
      </c>
      <c r="J37" s="15">
        <f t="shared" si="14"/>
        <v>69.458186000000012</v>
      </c>
      <c r="K37" s="15">
        <f t="shared" si="14"/>
        <v>70.986266092000008</v>
      </c>
      <c r="L37" s="112"/>
      <c r="M37" s="11">
        <f>K37/E35*100</f>
        <v>130.72977180847147</v>
      </c>
    </row>
    <row r="38" spans="1:13" s="12" customFormat="1">
      <c r="A38" s="113" t="s">
        <v>8</v>
      </c>
      <c r="B38" s="116" t="s">
        <v>24</v>
      </c>
      <c r="C38" s="10" t="s">
        <v>14</v>
      </c>
      <c r="D38" s="122">
        <v>113.7</v>
      </c>
      <c r="E38" s="122">
        <v>101.9</v>
      </c>
      <c r="F38" s="15">
        <v>101.8</v>
      </c>
      <c r="G38" s="15">
        <v>101.8</v>
      </c>
      <c r="H38" s="26">
        <v>101.8</v>
      </c>
      <c r="I38" s="26">
        <v>101.8</v>
      </c>
      <c r="J38" s="26">
        <v>101.8</v>
      </c>
      <c r="K38" s="26">
        <v>101.8</v>
      </c>
      <c r="L38" s="110"/>
      <c r="M38" s="11">
        <f>K38/E38*100</f>
        <v>99.901864573110885</v>
      </c>
    </row>
    <row r="39" spans="1:13" s="12" customFormat="1">
      <c r="A39" s="114"/>
      <c r="B39" s="117"/>
      <c r="C39" s="10" t="s">
        <v>13</v>
      </c>
      <c r="D39" s="122"/>
      <c r="E39" s="122"/>
      <c r="F39" s="15">
        <v>102</v>
      </c>
      <c r="G39" s="15">
        <v>102</v>
      </c>
      <c r="H39" s="26">
        <v>102</v>
      </c>
      <c r="I39" s="26">
        <v>102</v>
      </c>
      <c r="J39" s="26">
        <v>102</v>
      </c>
      <c r="K39" s="26">
        <v>102</v>
      </c>
      <c r="L39" s="111"/>
      <c r="M39" s="11">
        <f>K39/E38*100</f>
        <v>100.0981354268891</v>
      </c>
    </row>
    <row r="40" spans="1:13" s="12" customFormat="1" ht="19.5" customHeight="1">
      <c r="A40" s="115"/>
      <c r="B40" s="118"/>
      <c r="C40" s="10" t="s">
        <v>34</v>
      </c>
      <c r="D40" s="122"/>
      <c r="E40" s="122"/>
      <c r="F40" s="15">
        <v>102.2</v>
      </c>
      <c r="G40" s="15">
        <v>102.2</v>
      </c>
      <c r="H40" s="26">
        <v>102.2</v>
      </c>
      <c r="I40" s="26">
        <v>102.2</v>
      </c>
      <c r="J40" s="26">
        <v>102.2</v>
      </c>
      <c r="K40" s="26">
        <v>102.2</v>
      </c>
      <c r="L40" s="112"/>
      <c r="M40" s="11">
        <f>K40/E38*100</f>
        <v>100.29440628066733</v>
      </c>
    </row>
    <row r="41" spans="1:13" s="12" customFormat="1" ht="19.5" customHeight="1">
      <c r="A41" s="100" t="s">
        <v>299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2"/>
    </row>
    <row r="42" spans="1:13" s="12" customFormat="1" ht="31.5" customHeight="1">
      <c r="A42" s="119" t="s">
        <v>153</v>
      </c>
      <c r="B42" s="106" t="s">
        <v>4</v>
      </c>
      <c r="C42" s="10" t="s">
        <v>14</v>
      </c>
      <c r="D42" s="109">
        <v>229.3</v>
      </c>
      <c r="E42" s="109">
        <v>235.1</v>
      </c>
      <c r="F42" s="24">
        <v>244.9</v>
      </c>
      <c r="G42" s="24">
        <v>254.9</v>
      </c>
      <c r="H42" s="27">
        <v>265.60000000000002</v>
      </c>
      <c r="I42" s="15">
        <f>H42*I45/100</f>
        <v>265.60000000000002</v>
      </c>
      <c r="J42" s="15">
        <f t="shared" ref="J42" si="15">I42*J45/100</f>
        <v>265.60000000000002</v>
      </c>
      <c r="K42" s="15">
        <f>J42*K45/100</f>
        <v>265.60000000000002</v>
      </c>
      <c r="L42" s="110">
        <f>E42/D42*100</f>
        <v>102.52943741822939</v>
      </c>
      <c r="M42" s="11">
        <f>K42/E42*100</f>
        <v>112.97320289238624</v>
      </c>
    </row>
    <row r="43" spans="1:13" s="12" customFormat="1">
      <c r="A43" s="120"/>
      <c r="B43" s="107"/>
      <c r="C43" s="10" t="s">
        <v>13</v>
      </c>
      <c r="D43" s="109"/>
      <c r="E43" s="109"/>
      <c r="F43" s="24">
        <v>248.4</v>
      </c>
      <c r="G43" s="24">
        <v>262.10000000000002</v>
      </c>
      <c r="H43" s="26">
        <v>277.2</v>
      </c>
      <c r="I43" s="15">
        <f t="shared" ref="I43:K43" si="16">H43*I46/100</f>
        <v>281.63519999999994</v>
      </c>
      <c r="J43" s="15">
        <f t="shared" si="16"/>
        <v>286.14136319999994</v>
      </c>
      <c r="K43" s="15">
        <f t="shared" si="16"/>
        <v>290.71962501119992</v>
      </c>
      <c r="L43" s="111"/>
      <c r="M43" s="11">
        <f>K43/E42*100</f>
        <v>123.65785836290937</v>
      </c>
    </row>
    <row r="44" spans="1:13" s="12" customFormat="1">
      <c r="A44" s="121"/>
      <c r="B44" s="108"/>
      <c r="C44" s="10" t="s">
        <v>34</v>
      </c>
      <c r="D44" s="109"/>
      <c r="E44" s="109"/>
      <c r="F44" s="24">
        <v>251.1</v>
      </c>
      <c r="G44" s="24">
        <v>267.5</v>
      </c>
      <c r="H44" s="27">
        <v>286.5</v>
      </c>
      <c r="I44" s="15">
        <f t="shared" ref="I44:K44" si="17">H44*I47/100</f>
        <v>294.52199999999999</v>
      </c>
      <c r="J44" s="15">
        <f t="shared" si="17"/>
        <v>302.76861599999995</v>
      </c>
      <c r="K44" s="15">
        <f t="shared" si="17"/>
        <v>311.24613724799997</v>
      </c>
      <c r="L44" s="112"/>
      <c r="M44" s="11">
        <f>K44/E42*100</f>
        <v>132.38882911441939</v>
      </c>
    </row>
    <row r="45" spans="1:13" s="12" customFormat="1">
      <c r="A45" s="113" t="s">
        <v>19</v>
      </c>
      <c r="B45" s="116" t="s">
        <v>24</v>
      </c>
      <c r="C45" s="10" t="s">
        <v>14</v>
      </c>
      <c r="D45" s="109">
        <v>98.5</v>
      </c>
      <c r="E45" s="109">
        <v>102.5</v>
      </c>
      <c r="F45" s="24">
        <v>99.4</v>
      </c>
      <c r="G45" s="24">
        <v>99.9</v>
      </c>
      <c r="H45" s="27">
        <v>100</v>
      </c>
      <c r="I45" s="27">
        <v>100</v>
      </c>
      <c r="J45" s="27">
        <v>100</v>
      </c>
      <c r="K45" s="27">
        <v>100</v>
      </c>
      <c r="L45" s="110"/>
      <c r="M45" s="11">
        <f>K45/E45*100</f>
        <v>97.560975609756099</v>
      </c>
    </row>
    <row r="46" spans="1:13" s="12" customFormat="1">
      <c r="A46" s="114"/>
      <c r="B46" s="117"/>
      <c r="C46" s="10" t="s">
        <v>13</v>
      </c>
      <c r="D46" s="109"/>
      <c r="E46" s="109"/>
      <c r="F46" s="24">
        <v>101</v>
      </c>
      <c r="G46" s="24">
        <v>101.2</v>
      </c>
      <c r="H46" s="26">
        <v>101.6</v>
      </c>
      <c r="I46" s="26">
        <v>101.6</v>
      </c>
      <c r="J46" s="26">
        <v>101.6</v>
      </c>
      <c r="K46" s="26">
        <v>101.6</v>
      </c>
      <c r="L46" s="111"/>
      <c r="M46" s="11">
        <f>K46/E45*100</f>
        <v>99.121951219512198</v>
      </c>
    </row>
    <row r="47" spans="1:13" s="12" customFormat="1" ht="19.5" customHeight="1">
      <c r="A47" s="115"/>
      <c r="B47" s="118"/>
      <c r="C47" s="10" t="s">
        <v>34</v>
      </c>
      <c r="D47" s="109"/>
      <c r="E47" s="109"/>
      <c r="F47" s="24">
        <v>102.1</v>
      </c>
      <c r="G47" s="24">
        <v>102.1</v>
      </c>
      <c r="H47" s="27">
        <v>102.8</v>
      </c>
      <c r="I47" s="27">
        <v>102.8</v>
      </c>
      <c r="J47" s="27">
        <v>102.8</v>
      </c>
      <c r="K47" s="27">
        <v>102.8</v>
      </c>
      <c r="L47" s="112"/>
      <c r="M47" s="11">
        <f>K47/E45*100</f>
        <v>100.29268292682927</v>
      </c>
    </row>
    <row r="48" spans="1:13" s="12" customFormat="1" ht="19.5" customHeight="1">
      <c r="A48" s="100" t="s">
        <v>165</v>
      </c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2"/>
    </row>
    <row r="49" spans="1:13" s="12" customFormat="1" ht="31.5" customHeight="1">
      <c r="A49" s="119" t="s">
        <v>166</v>
      </c>
      <c r="B49" s="106" t="s">
        <v>300</v>
      </c>
      <c r="C49" s="98" t="s">
        <v>14</v>
      </c>
      <c r="D49" s="109">
        <v>432.6</v>
      </c>
      <c r="E49" s="109">
        <v>437.6</v>
      </c>
      <c r="F49" s="24">
        <v>437.6</v>
      </c>
      <c r="G49" s="24">
        <v>437.6</v>
      </c>
      <c r="H49" s="24">
        <v>437.6</v>
      </c>
      <c r="I49" s="24">
        <v>437.6</v>
      </c>
      <c r="J49" s="24">
        <v>437.6</v>
      </c>
      <c r="K49" s="24">
        <v>437.6</v>
      </c>
      <c r="L49" s="110">
        <f>E49/D49*100</f>
        <v>101.15580212667592</v>
      </c>
      <c r="M49" s="15">
        <f>K49/E49*100</f>
        <v>100</v>
      </c>
    </row>
    <row r="50" spans="1:13" s="12" customFormat="1">
      <c r="A50" s="120"/>
      <c r="B50" s="107"/>
      <c r="C50" s="98" t="s">
        <v>13</v>
      </c>
      <c r="D50" s="109"/>
      <c r="E50" s="109"/>
      <c r="F50" s="24">
        <v>440.8</v>
      </c>
      <c r="G50" s="24">
        <v>443.8</v>
      </c>
      <c r="H50" s="15">
        <v>446.8</v>
      </c>
      <c r="I50" s="15">
        <v>446.8</v>
      </c>
      <c r="J50" s="15">
        <v>446.8</v>
      </c>
      <c r="K50" s="15">
        <v>446.8</v>
      </c>
      <c r="L50" s="111"/>
      <c r="M50" s="15">
        <f>K50/E49*100</f>
        <v>102.10237659963437</v>
      </c>
    </row>
    <row r="51" spans="1:13" s="12" customFormat="1" ht="55.5" customHeight="1">
      <c r="A51" s="121"/>
      <c r="B51" s="108"/>
      <c r="C51" s="98" t="s">
        <v>34</v>
      </c>
      <c r="D51" s="109"/>
      <c r="E51" s="109"/>
      <c r="F51" s="24">
        <v>442.6</v>
      </c>
      <c r="G51" s="24">
        <v>447.6</v>
      </c>
      <c r="H51" s="24">
        <v>452.6</v>
      </c>
      <c r="I51" s="24">
        <v>452.6</v>
      </c>
      <c r="J51" s="24">
        <v>452.6</v>
      </c>
      <c r="K51" s="24">
        <v>452.6</v>
      </c>
      <c r="L51" s="112"/>
      <c r="M51" s="15">
        <f>K51/E49*100</f>
        <v>103.42778793418648</v>
      </c>
    </row>
    <row r="52" spans="1:13" s="12" customFormat="1">
      <c r="A52" s="100" t="s">
        <v>218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2"/>
    </row>
    <row r="53" spans="1:13" s="12" customFormat="1">
      <c r="A53" s="103" t="s">
        <v>25</v>
      </c>
      <c r="B53" s="106" t="s">
        <v>4</v>
      </c>
      <c r="C53" s="10" t="s">
        <v>14</v>
      </c>
      <c r="D53" s="109">
        <v>830.2</v>
      </c>
      <c r="E53" s="109">
        <v>868.5</v>
      </c>
      <c r="F53" s="24">
        <v>864.7</v>
      </c>
      <c r="G53" s="24">
        <v>875.7</v>
      </c>
      <c r="H53" s="27">
        <v>880.8</v>
      </c>
      <c r="I53" s="15">
        <f>H53*I56/100</f>
        <v>854.37599999999986</v>
      </c>
      <c r="J53" s="15">
        <f t="shared" ref="J53" si="18">I53*J56/100</f>
        <v>828.7447199999998</v>
      </c>
      <c r="K53" s="15">
        <f>J53*K56/100</f>
        <v>803.88237839999988</v>
      </c>
      <c r="L53" s="110">
        <f>E53/D53*100</f>
        <v>104.61334618164298</v>
      </c>
      <c r="M53" s="11">
        <f>K53/E53*100</f>
        <v>92.559859343696019</v>
      </c>
    </row>
    <row r="54" spans="1:13" s="12" customFormat="1">
      <c r="A54" s="104"/>
      <c r="B54" s="107"/>
      <c r="C54" s="10" t="s">
        <v>13</v>
      </c>
      <c r="D54" s="109"/>
      <c r="E54" s="109"/>
      <c r="F54" s="24">
        <v>909.3</v>
      </c>
      <c r="G54" s="24">
        <v>955.1</v>
      </c>
      <c r="H54" s="26">
        <v>993.4</v>
      </c>
      <c r="I54" s="15">
        <f t="shared" ref="I54:K54" si="19">H54*I57/100</f>
        <v>996.38019999999995</v>
      </c>
      <c r="J54" s="15">
        <f t="shared" si="19"/>
        <v>999.36934059999987</v>
      </c>
      <c r="K54" s="15">
        <f t="shared" si="19"/>
        <v>1002.3674486217999</v>
      </c>
      <c r="L54" s="111"/>
      <c r="M54" s="11">
        <f>K54/E53*100</f>
        <v>115.41363829842255</v>
      </c>
    </row>
    <row r="55" spans="1:13" s="12" customFormat="1" ht="35.25" customHeight="1">
      <c r="A55" s="105"/>
      <c r="B55" s="108"/>
      <c r="C55" s="10" t="s">
        <v>34</v>
      </c>
      <c r="D55" s="109"/>
      <c r="E55" s="109"/>
      <c r="F55" s="24">
        <v>973</v>
      </c>
      <c r="G55" s="24">
        <v>1068.5999999999999</v>
      </c>
      <c r="H55" s="27">
        <v>1166.9000000000001</v>
      </c>
      <c r="I55" s="15">
        <f t="shared" ref="I55:K55" si="20">H55*I58/100</f>
        <v>1228.7457000000002</v>
      </c>
      <c r="J55" s="15">
        <f t="shared" si="20"/>
        <v>1293.8692221000001</v>
      </c>
      <c r="K55" s="15">
        <f t="shared" si="20"/>
        <v>1362.4442908712999</v>
      </c>
      <c r="L55" s="112"/>
      <c r="M55" s="11">
        <f>K55/E53*100</f>
        <v>156.87326319761655</v>
      </c>
    </row>
    <row r="56" spans="1:13" s="12" customFormat="1">
      <c r="A56" s="113" t="s">
        <v>19</v>
      </c>
      <c r="B56" s="116" t="s">
        <v>24</v>
      </c>
      <c r="C56" s="10" t="s">
        <v>14</v>
      </c>
      <c r="D56" s="109">
        <v>735</v>
      </c>
      <c r="E56" s="109">
        <v>100.3</v>
      </c>
      <c r="F56" s="24">
        <v>95</v>
      </c>
      <c r="G56" s="24">
        <v>97</v>
      </c>
      <c r="H56" s="27">
        <v>97</v>
      </c>
      <c r="I56" s="27">
        <v>97</v>
      </c>
      <c r="J56" s="27">
        <v>97</v>
      </c>
      <c r="K56" s="27">
        <v>97</v>
      </c>
      <c r="L56" s="110"/>
      <c r="M56" s="11">
        <f t="shared" ref="M56" si="21">K56/E56*100</f>
        <v>96.709870388833508</v>
      </c>
    </row>
    <row r="57" spans="1:13" s="12" customFormat="1">
      <c r="A57" s="114"/>
      <c r="B57" s="117"/>
      <c r="C57" s="10" t="s">
        <v>13</v>
      </c>
      <c r="D57" s="109"/>
      <c r="E57" s="109"/>
      <c r="F57" s="24">
        <v>100</v>
      </c>
      <c r="G57" s="24">
        <v>100.7</v>
      </c>
      <c r="H57" s="26">
        <v>100.3</v>
      </c>
      <c r="I57" s="26">
        <v>100.3</v>
      </c>
      <c r="J57" s="26">
        <v>100.3</v>
      </c>
      <c r="K57" s="26">
        <v>100.3</v>
      </c>
      <c r="L57" s="111"/>
      <c r="M57" s="11">
        <f>K57/E56*100</f>
        <v>100</v>
      </c>
    </row>
    <row r="58" spans="1:13" s="12" customFormat="1">
      <c r="A58" s="115"/>
      <c r="B58" s="118"/>
      <c r="C58" s="10" t="s">
        <v>34</v>
      </c>
      <c r="D58" s="109"/>
      <c r="E58" s="109"/>
      <c r="F58" s="24">
        <v>107</v>
      </c>
      <c r="G58" s="24">
        <v>105.3</v>
      </c>
      <c r="H58" s="27">
        <v>105.3</v>
      </c>
      <c r="I58" s="27">
        <v>105.3</v>
      </c>
      <c r="J58" s="27">
        <v>105.3</v>
      </c>
      <c r="K58" s="27">
        <v>105.3</v>
      </c>
      <c r="L58" s="112"/>
      <c r="M58" s="11">
        <f t="shared" ref="M58" si="22">K58/E56*100</f>
        <v>104.98504486540379</v>
      </c>
    </row>
    <row r="59" spans="1:13" s="12" customFormat="1">
      <c r="A59" s="103" t="s">
        <v>223</v>
      </c>
      <c r="B59" s="106" t="s">
        <v>224</v>
      </c>
      <c r="C59" s="10" t="s">
        <v>14</v>
      </c>
      <c r="D59" s="109">
        <v>3.5</v>
      </c>
      <c r="E59" s="109">
        <v>3.1</v>
      </c>
      <c r="F59" s="24">
        <v>3</v>
      </c>
      <c r="G59" s="24">
        <v>2.9</v>
      </c>
      <c r="H59" s="27">
        <v>2.9</v>
      </c>
      <c r="I59" s="27">
        <v>2.9</v>
      </c>
      <c r="J59" s="27">
        <v>2.9</v>
      </c>
      <c r="K59" s="27">
        <v>2.9</v>
      </c>
      <c r="L59" s="110">
        <f>E59/D59*100</f>
        <v>88.571428571428584</v>
      </c>
      <c r="M59" s="11">
        <f>K59/E59*100</f>
        <v>93.548387096774192</v>
      </c>
    </row>
    <row r="60" spans="1:13" s="12" customFormat="1">
      <c r="A60" s="104"/>
      <c r="B60" s="107"/>
      <c r="C60" s="10" t="s">
        <v>13</v>
      </c>
      <c r="D60" s="109"/>
      <c r="E60" s="109"/>
      <c r="F60" s="24">
        <v>3.1</v>
      </c>
      <c r="G60" s="24">
        <v>3.1</v>
      </c>
      <c r="H60" s="26">
        <v>3.2</v>
      </c>
      <c r="I60" s="26">
        <v>3.2</v>
      </c>
      <c r="J60" s="26">
        <v>3.2</v>
      </c>
      <c r="K60" s="26">
        <v>3.2</v>
      </c>
      <c r="L60" s="111"/>
      <c r="M60" s="11">
        <f>K60/E59*100</f>
        <v>103.2258064516129</v>
      </c>
    </row>
    <row r="61" spans="1:13" s="12" customFormat="1">
      <c r="A61" s="105"/>
      <c r="B61" s="108"/>
      <c r="C61" s="10" t="s">
        <v>34</v>
      </c>
      <c r="D61" s="109"/>
      <c r="E61" s="109"/>
      <c r="F61" s="24">
        <v>3.4</v>
      </c>
      <c r="G61" s="24">
        <v>3.6</v>
      </c>
      <c r="H61" s="27">
        <v>3.9</v>
      </c>
      <c r="I61" s="27">
        <v>3.9</v>
      </c>
      <c r="J61" s="27">
        <v>3.9</v>
      </c>
      <c r="K61" s="27">
        <v>3.9</v>
      </c>
      <c r="L61" s="112"/>
      <c r="M61" s="11">
        <f>K61/E59*100</f>
        <v>125.80645161290323</v>
      </c>
    </row>
    <row r="62" spans="1:13" s="12" customFormat="1">
      <c r="A62" s="100" t="s">
        <v>226</v>
      </c>
      <c r="B62" s="101"/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2"/>
    </row>
    <row r="63" spans="1:13" s="12" customFormat="1">
      <c r="A63" s="103" t="s">
        <v>301</v>
      </c>
      <c r="B63" s="106" t="s">
        <v>4</v>
      </c>
      <c r="C63" s="98" t="s">
        <v>14</v>
      </c>
      <c r="D63" s="109">
        <v>24915.200000000001</v>
      </c>
      <c r="E63" s="109">
        <v>26544.799999999999</v>
      </c>
      <c r="F63" s="24">
        <v>27087.4</v>
      </c>
      <c r="G63" s="24">
        <v>27483.4</v>
      </c>
      <c r="H63" s="24">
        <v>28057.7</v>
      </c>
      <c r="I63" s="15">
        <f>H63*I66/100</f>
        <v>27384.315200000001</v>
      </c>
      <c r="J63" s="15">
        <f t="shared" ref="J63:J65" si="23">I63*J66/100</f>
        <v>26727.091635199999</v>
      </c>
      <c r="K63" s="15">
        <f>J63*K66/100</f>
        <v>26085.641435955196</v>
      </c>
      <c r="L63" s="110">
        <f>E63/D63*100</f>
        <v>106.54058566658105</v>
      </c>
      <c r="M63" s="15">
        <f>K63/E63*100</f>
        <v>98.270250429293853</v>
      </c>
    </row>
    <row r="64" spans="1:13" s="12" customFormat="1">
      <c r="A64" s="104"/>
      <c r="B64" s="107"/>
      <c r="C64" s="98" t="s">
        <v>13</v>
      </c>
      <c r="D64" s="109"/>
      <c r="E64" s="109"/>
      <c r="F64" s="24">
        <v>27951.7</v>
      </c>
      <c r="G64" s="24">
        <v>29293.4</v>
      </c>
      <c r="H64" s="15">
        <v>30640.799999999999</v>
      </c>
      <c r="I64" s="15">
        <f t="shared" ref="I64:I65" si="24">H64*I67/100</f>
        <v>30640.799999999999</v>
      </c>
      <c r="J64" s="15">
        <f t="shared" si="23"/>
        <v>30640.799999999999</v>
      </c>
      <c r="K64" s="15">
        <f t="shared" ref="K64:K65" si="25">J64*K67/100</f>
        <v>30640.799999999999</v>
      </c>
      <c r="L64" s="111"/>
      <c r="M64" s="15">
        <f>K64/E63*100</f>
        <v>115.43051746481422</v>
      </c>
    </row>
    <row r="65" spans="1:13" s="12" customFormat="1">
      <c r="A65" s="105"/>
      <c r="B65" s="108"/>
      <c r="C65" s="98" t="s">
        <v>34</v>
      </c>
      <c r="D65" s="109"/>
      <c r="E65" s="109"/>
      <c r="F65" s="24">
        <v>28397.9</v>
      </c>
      <c r="G65" s="24">
        <v>30296.7</v>
      </c>
      <c r="H65" s="24">
        <v>32385.9</v>
      </c>
      <c r="I65" s="15">
        <f t="shared" si="24"/>
        <v>33033.618000000002</v>
      </c>
      <c r="J65" s="15">
        <f t="shared" si="23"/>
        <v>33694.290360000006</v>
      </c>
      <c r="K65" s="15">
        <f t="shared" si="25"/>
        <v>34368.176167200007</v>
      </c>
      <c r="L65" s="112"/>
      <c r="M65" s="15">
        <f>K65/E63*100</f>
        <v>129.47234926313254</v>
      </c>
    </row>
    <row r="66" spans="1:13" s="12" customFormat="1">
      <c r="A66" s="113" t="s">
        <v>20</v>
      </c>
      <c r="B66" s="116" t="s">
        <v>24</v>
      </c>
      <c r="C66" s="10" t="s">
        <v>14</v>
      </c>
      <c r="D66" s="109">
        <v>73.5</v>
      </c>
      <c r="E66" s="109">
        <v>100.7</v>
      </c>
      <c r="F66" s="24">
        <v>97</v>
      </c>
      <c r="G66" s="24">
        <v>97</v>
      </c>
      <c r="H66" s="27">
        <v>97.6</v>
      </c>
      <c r="I66" s="27">
        <v>97.6</v>
      </c>
      <c r="J66" s="27">
        <v>97.6</v>
      </c>
      <c r="K66" s="27">
        <v>97.6</v>
      </c>
      <c r="L66" s="110"/>
      <c r="M66" s="11">
        <f>K66/E66*100</f>
        <v>96.921549155908622</v>
      </c>
    </row>
    <row r="67" spans="1:13" s="12" customFormat="1">
      <c r="A67" s="114"/>
      <c r="B67" s="117"/>
      <c r="C67" s="10" t="s">
        <v>13</v>
      </c>
      <c r="D67" s="109"/>
      <c r="E67" s="109"/>
      <c r="F67" s="24">
        <v>100</v>
      </c>
      <c r="G67" s="24">
        <v>100</v>
      </c>
      <c r="H67" s="26">
        <v>100</v>
      </c>
      <c r="I67" s="26">
        <v>100</v>
      </c>
      <c r="J67" s="26">
        <v>100</v>
      </c>
      <c r="K67" s="26">
        <v>100</v>
      </c>
      <c r="L67" s="111"/>
      <c r="M67" s="11">
        <f>K67/E66*100</f>
        <v>99.304865938430979</v>
      </c>
    </row>
    <row r="68" spans="1:13" s="12" customFormat="1" ht="19.5" customHeight="1">
      <c r="A68" s="115"/>
      <c r="B68" s="118"/>
      <c r="C68" s="10" t="s">
        <v>34</v>
      </c>
      <c r="D68" s="109"/>
      <c r="E68" s="109"/>
      <c r="F68" s="24">
        <v>101.5</v>
      </c>
      <c r="G68" s="24">
        <v>101.8</v>
      </c>
      <c r="H68" s="27">
        <v>102</v>
      </c>
      <c r="I68" s="27">
        <v>102</v>
      </c>
      <c r="J68" s="27">
        <v>102</v>
      </c>
      <c r="K68" s="27">
        <v>102</v>
      </c>
      <c r="L68" s="112"/>
      <c r="M68" s="11">
        <f>K68/E66*100</f>
        <v>101.29096325719959</v>
      </c>
    </row>
    <row r="69" spans="1:13" s="17" customFormat="1" ht="19.5" customHeight="1">
      <c r="A69" s="100" t="s">
        <v>244</v>
      </c>
      <c r="B69" s="101"/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2"/>
    </row>
    <row r="70" spans="1:13" s="12" customFormat="1" ht="15.75" customHeight="1">
      <c r="A70" s="103" t="s">
        <v>302</v>
      </c>
      <c r="B70" s="106" t="s">
        <v>4</v>
      </c>
      <c r="C70" s="10" t="s">
        <v>14</v>
      </c>
      <c r="D70" s="122">
        <v>472.8</v>
      </c>
      <c r="E70" s="122">
        <v>500.6</v>
      </c>
      <c r="F70" s="15">
        <v>499.8</v>
      </c>
      <c r="G70" s="15">
        <v>505.2</v>
      </c>
      <c r="H70" s="11">
        <v>500.5</v>
      </c>
      <c r="I70" s="15">
        <f>H70*I73/100</f>
        <v>475.47500000000002</v>
      </c>
      <c r="J70" s="15">
        <f t="shared" ref="J70" si="26">I70*J73/100</f>
        <v>451.70125000000002</v>
      </c>
      <c r="K70" s="15">
        <f>J70*K73/100</f>
        <v>429.11618750000002</v>
      </c>
      <c r="L70" s="110">
        <f>E70/D70*100</f>
        <v>105.87986463620982</v>
      </c>
      <c r="M70" s="11">
        <f t="shared" ref="M70" si="27">K70/E70*100</f>
        <v>85.720373052337195</v>
      </c>
    </row>
    <row r="71" spans="1:13" s="12" customFormat="1">
      <c r="A71" s="104"/>
      <c r="B71" s="107"/>
      <c r="C71" s="10" t="s">
        <v>13</v>
      </c>
      <c r="D71" s="122"/>
      <c r="E71" s="122"/>
      <c r="F71" s="15">
        <v>528.1</v>
      </c>
      <c r="G71" s="15">
        <v>550.79999999999995</v>
      </c>
      <c r="H71" s="26">
        <v>574.5</v>
      </c>
      <c r="I71" s="15">
        <f t="shared" ref="I71:K71" si="28">H71*I74/100</f>
        <v>574.5</v>
      </c>
      <c r="J71" s="15">
        <f t="shared" si="28"/>
        <v>574.5</v>
      </c>
      <c r="K71" s="15">
        <f t="shared" si="28"/>
        <v>574.5</v>
      </c>
      <c r="L71" s="111"/>
      <c r="M71" s="11">
        <f>K71/E70*100</f>
        <v>114.76228525769076</v>
      </c>
    </row>
    <row r="72" spans="1:13" s="12" customFormat="1">
      <c r="A72" s="105"/>
      <c r="B72" s="108"/>
      <c r="C72" s="10" t="s">
        <v>34</v>
      </c>
      <c r="D72" s="122"/>
      <c r="E72" s="122"/>
      <c r="F72" s="15">
        <v>538.70000000000005</v>
      </c>
      <c r="G72" s="15">
        <v>571.9</v>
      </c>
      <c r="H72" s="11">
        <v>608.4</v>
      </c>
      <c r="I72" s="15">
        <f t="shared" ref="I72:K72" si="29">H72*I75/100</f>
        <v>620.56799999999998</v>
      </c>
      <c r="J72" s="15">
        <f t="shared" si="29"/>
        <v>632.97936000000004</v>
      </c>
      <c r="K72" s="15">
        <f t="shared" si="29"/>
        <v>645.63894720000008</v>
      </c>
      <c r="L72" s="112"/>
      <c r="M72" s="11">
        <f t="shared" ref="M72" si="30">K72/E70*100</f>
        <v>128.97302181382341</v>
      </c>
    </row>
    <row r="73" spans="1:13" s="12" customFormat="1">
      <c r="A73" s="113" t="s">
        <v>303</v>
      </c>
      <c r="B73" s="116" t="s">
        <v>24</v>
      </c>
      <c r="C73" s="10" t="s">
        <v>14</v>
      </c>
      <c r="D73" s="122">
        <v>101.2</v>
      </c>
      <c r="E73" s="122">
        <v>101.6</v>
      </c>
      <c r="F73" s="15">
        <v>95</v>
      </c>
      <c r="G73" s="15">
        <v>97</v>
      </c>
      <c r="H73" s="11">
        <v>95</v>
      </c>
      <c r="I73" s="11">
        <v>95</v>
      </c>
      <c r="J73" s="11">
        <v>95</v>
      </c>
      <c r="K73" s="11">
        <v>95</v>
      </c>
      <c r="L73" s="110"/>
      <c r="M73" s="11">
        <f t="shared" ref="M73" si="31">K73/E73*100</f>
        <v>93.503937007874015</v>
      </c>
    </row>
    <row r="74" spans="1:13" s="12" customFormat="1">
      <c r="A74" s="114"/>
      <c r="B74" s="117"/>
      <c r="C74" s="10" t="s">
        <v>13</v>
      </c>
      <c r="D74" s="122"/>
      <c r="E74" s="122"/>
      <c r="F74" s="15">
        <v>100</v>
      </c>
      <c r="G74" s="15">
        <v>100</v>
      </c>
      <c r="H74" s="26">
        <v>100</v>
      </c>
      <c r="I74" s="26">
        <v>100</v>
      </c>
      <c r="J74" s="26">
        <v>100</v>
      </c>
      <c r="K74" s="26">
        <v>100</v>
      </c>
      <c r="L74" s="111"/>
      <c r="M74" s="11">
        <f>K74/E73*100</f>
        <v>98.425196850393704</v>
      </c>
    </row>
    <row r="75" spans="1:13" s="12" customFormat="1" ht="19.5" customHeight="1">
      <c r="A75" s="115"/>
      <c r="B75" s="118"/>
      <c r="C75" s="10" t="s">
        <v>34</v>
      </c>
      <c r="D75" s="122"/>
      <c r="E75" s="122"/>
      <c r="F75" s="15">
        <v>102</v>
      </c>
      <c r="G75" s="15">
        <v>101.8</v>
      </c>
      <c r="H75" s="11">
        <v>102</v>
      </c>
      <c r="I75" s="11">
        <v>102</v>
      </c>
      <c r="J75" s="11">
        <v>102</v>
      </c>
      <c r="K75" s="11">
        <v>102</v>
      </c>
      <c r="L75" s="112"/>
      <c r="M75" s="11">
        <f t="shared" ref="M75" si="32">K75/E73*100</f>
        <v>100.39370078740157</v>
      </c>
    </row>
    <row r="76" spans="1:13" s="12" customFormat="1" ht="15.75" customHeight="1">
      <c r="A76" s="103" t="s">
        <v>26</v>
      </c>
      <c r="B76" s="106" t="s">
        <v>4</v>
      </c>
      <c r="C76" s="10" t="s">
        <v>14</v>
      </c>
      <c r="D76" s="122">
        <v>85.8</v>
      </c>
      <c r="E76" s="122">
        <v>86.8</v>
      </c>
      <c r="F76" s="15">
        <v>86.9</v>
      </c>
      <c r="G76" s="15">
        <v>86.1</v>
      </c>
      <c r="H76" s="11">
        <v>88.9</v>
      </c>
      <c r="I76" s="15">
        <f>H76*I79/100</f>
        <v>88.01100000000001</v>
      </c>
      <c r="J76" s="15">
        <f t="shared" ref="J76" si="33">I76*J79/100</f>
        <v>87.130890000000022</v>
      </c>
      <c r="K76" s="15">
        <f>J76*K79/100</f>
        <v>86.25958110000002</v>
      </c>
      <c r="L76" s="110">
        <f>E76/D76*100</f>
        <v>101.16550116550115</v>
      </c>
      <c r="M76" s="11">
        <f t="shared" ref="M76" si="34">K76/E76*100</f>
        <v>99.377397580645194</v>
      </c>
    </row>
    <row r="77" spans="1:13" s="12" customFormat="1">
      <c r="A77" s="104"/>
      <c r="B77" s="107"/>
      <c r="C77" s="10" t="s">
        <v>13</v>
      </c>
      <c r="D77" s="122"/>
      <c r="E77" s="122"/>
      <c r="F77" s="15">
        <v>91</v>
      </c>
      <c r="G77" s="15">
        <v>95</v>
      </c>
      <c r="H77" s="26">
        <v>99.2</v>
      </c>
      <c r="I77" s="15">
        <f t="shared" ref="I77:K77" si="35">H77*I80/100</f>
        <v>99.2</v>
      </c>
      <c r="J77" s="15">
        <f t="shared" si="35"/>
        <v>99.2</v>
      </c>
      <c r="K77" s="15">
        <f t="shared" si="35"/>
        <v>99.2</v>
      </c>
      <c r="L77" s="111"/>
      <c r="M77" s="11">
        <f>K77/E76*100</f>
        <v>114.28571428571431</v>
      </c>
    </row>
    <row r="78" spans="1:13" s="12" customFormat="1">
      <c r="A78" s="105"/>
      <c r="B78" s="108"/>
      <c r="C78" s="10" t="s">
        <v>34</v>
      </c>
      <c r="D78" s="122"/>
      <c r="E78" s="122"/>
      <c r="F78" s="15">
        <v>93.5</v>
      </c>
      <c r="G78" s="15">
        <v>99.2</v>
      </c>
      <c r="H78" s="11">
        <v>105.5</v>
      </c>
      <c r="I78" s="15">
        <f t="shared" ref="I78:K78" si="36">H78*I81/100</f>
        <v>107.399</v>
      </c>
      <c r="J78" s="15">
        <f t="shared" si="36"/>
        <v>109.33218199999999</v>
      </c>
      <c r="K78" s="15">
        <f t="shared" si="36"/>
        <v>111.30016127599998</v>
      </c>
      <c r="L78" s="112"/>
      <c r="M78" s="11">
        <f>K78/E76*100</f>
        <v>128.22599225345621</v>
      </c>
    </row>
    <row r="79" spans="1:13" s="12" customFormat="1">
      <c r="A79" s="113" t="s">
        <v>304</v>
      </c>
      <c r="B79" s="116" t="s">
        <v>24</v>
      </c>
      <c r="C79" s="10" t="s">
        <v>14</v>
      </c>
      <c r="D79" s="122">
        <v>104.1</v>
      </c>
      <c r="E79" s="122">
        <v>101.2</v>
      </c>
      <c r="F79" s="15">
        <v>96</v>
      </c>
      <c r="G79" s="15">
        <v>95</v>
      </c>
      <c r="H79" s="11">
        <v>99</v>
      </c>
      <c r="I79" s="11">
        <v>99</v>
      </c>
      <c r="J79" s="11">
        <v>99</v>
      </c>
      <c r="K79" s="11">
        <v>99</v>
      </c>
      <c r="L79" s="110"/>
      <c r="M79" s="11">
        <f t="shared" ref="M79" si="37">K79/E79*100</f>
        <v>97.826086956521735</v>
      </c>
    </row>
    <row r="80" spans="1:13" s="12" customFormat="1">
      <c r="A80" s="114"/>
      <c r="B80" s="117"/>
      <c r="C80" s="10" t="s">
        <v>13</v>
      </c>
      <c r="D80" s="122"/>
      <c r="E80" s="122"/>
      <c r="F80" s="15">
        <v>100</v>
      </c>
      <c r="G80" s="15">
        <v>100</v>
      </c>
      <c r="H80" s="26">
        <v>100</v>
      </c>
      <c r="I80" s="26">
        <v>100</v>
      </c>
      <c r="J80" s="26">
        <v>100</v>
      </c>
      <c r="K80" s="26">
        <v>100</v>
      </c>
      <c r="L80" s="111"/>
      <c r="M80" s="11">
        <f>K80/E79*100</f>
        <v>98.814229249011859</v>
      </c>
    </row>
    <row r="81" spans="1:13" s="12" customFormat="1" ht="19.5" customHeight="1">
      <c r="A81" s="115"/>
      <c r="B81" s="118"/>
      <c r="C81" s="10" t="s">
        <v>34</v>
      </c>
      <c r="D81" s="122"/>
      <c r="E81" s="122"/>
      <c r="F81" s="15">
        <v>102.8</v>
      </c>
      <c r="G81" s="15">
        <v>101.6</v>
      </c>
      <c r="H81" s="11">
        <v>101.8</v>
      </c>
      <c r="I81" s="11">
        <v>101.8</v>
      </c>
      <c r="J81" s="11">
        <v>101.8</v>
      </c>
      <c r="K81" s="11">
        <v>101.8</v>
      </c>
      <c r="L81" s="112"/>
      <c r="M81" s="11">
        <f t="shared" ref="M81" si="38">K81/E79*100</f>
        <v>100.59288537549406</v>
      </c>
    </row>
    <row r="82" spans="1:13" s="12" customFormat="1">
      <c r="A82" s="103" t="s">
        <v>31</v>
      </c>
      <c r="B82" s="139" t="s">
        <v>32</v>
      </c>
      <c r="C82" s="10" t="s">
        <v>14</v>
      </c>
      <c r="D82" s="142">
        <v>115</v>
      </c>
      <c r="E82" s="142">
        <v>105.3</v>
      </c>
      <c r="F82" s="99">
        <v>103.7</v>
      </c>
      <c r="G82" s="99">
        <v>104</v>
      </c>
      <c r="H82" s="99">
        <v>104</v>
      </c>
      <c r="I82" s="99">
        <v>104</v>
      </c>
      <c r="J82" s="99">
        <v>104</v>
      </c>
      <c r="K82" s="99">
        <v>104</v>
      </c>
      <c r="L82" s="143"/>
      <c r="M82" s="11">
        <f t="shared" ref="M82" si="39">K82/E82*100</f>
        <v>98.765432098765444</v>
      </c>
    </row>
    <row r="83" spans="1:13" s="12" customFormat="1">
      <c r="A83" s="104"/>
      <c r="B83" s="140"/>
      <c r="C83" s="10" t="s">
        <v>13</v>
      </c>
      <c r="D83" s="142"/>
      <c r="E83" s="142"/>
      <c r="F83" s="99">
        <v>104</v>
      </c>
      <c r="G83" s="99">
        <v>104</v>
      </c>
      <c r="H83" s="99">
        <v>104</v>
      </c>
      <c r="I83" s="99">
        <v>104</v>
      </c>
      <c r="J83" s="99">
        <v>104</v>
      </c>
      <c r="K83" s="99">
        <v>104</v>
      </c>
      <c r="L83" s="144"/>
      <c r="M83" s="11">
        <f>K83/E82*100</f>
        <v>98.765432098765444</v>
      </c>
    </row>
    <row r="84" spans="1:13" s="12" customFormat="1" ht="37.5" customHeight="1">
      <c r="A84" s="105"/>
      <c r="B84" s="141"/>
      <c r="C84" s="10" t="s">
        <v>34</v>
      </c>
      <c r="D84" s="142"/>
      <c r="E84" s="142"/>
      <c r="F84" s="99">
        <v>104</v>
      </c>
      <c r="G84" s="99">
        <v>104</v>
      </c>
      <c r="H84" s="99">
        <v>104</v>
      </c>
      <c r="I84" s="99">
        <v>104</v>
      </c>
      <c r="J84" s="99">
        <v>104</v>
      </c>
      <c r="K84" s="99">
        <v>104</v>
      </c>
      <c r="L84" s="145"/>
      <c r="M84" s="11">
        <f t="shared" ref="M84" si="40">K84/E82*100</f>
        <v>98.765432098765444</v>
      </c>
    </row>
    <row r="85" spans="1:13" s="12" customFormat="1" ht="19.5" customHeight="1">
      <c r="A85" s="100" t="s">
        <v>305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2"/>
    </row>
    <row r="86" spans="1:13" s="12" customFormat="1" ht="15.75" customHeight="1">
      <c r="A86" s="103" t="s">
        <v>35</v>
      </c>
      <c r="B86" s="124" t="s">
        <v>5</v>
      </c>
      <c r="C86" s="10" t="s">
        <v>14</v>
      </c>
      <c r="D86" s="127">
        <v>11.5</v>
      </c>
      <c r="E86" s="127">
        <v>11.4</v>
      </c>
      <c r="F86" s="21">
        <v>11.5</v>
      </c>
      <c r="G86" s="21">
        <v>11.4</v>
      </c>
      <c r="H86" s="22">
        <v>11.4</v>
      </c>
      <c r="I86" s="22">
        <v>11.4</v>
      </c>
      <c r="J86" s="22">
        <v>11.4</v>
      </c>
      <c r="K86" s="22">
        <v>11.4</v>
      </c>
      <c r="L86" s="110">
        <f>E86/D86*100</f>
        <v>99.130434782608702</v>
      </c>
      <c r="M86" s="11">
        <f>K86/E86*100</f>
        <v>100</v>
      </c>
    </row>
    <row r="87" spans="1:13" s="12" customFormat="1">
      <c r="A87" s="104"/>
      <c r="B87" s="125"/>
      <c r="C87" s="10" t="s">
        <v>13</v>
      </c>
      <c r="D87" s="127"/>
      <c r="E87" s="127"/>
      <c r="F87" s="21">
        <v>11.4</v>
      </c>
      <c r="G87" s="21">
        <v>11.4</v>
      </c>
      <c r="H87" s="22">
        <v>11.4</v>
      </c>
      <c r="I87" s="22">
        <v>11.4</v>
      </c>
      <c r="J87" s="22">
        <v>11.4</v>
      </c>
      <c r="K87" s="22">
        <v>11.4</v>
      </c>
      <c r="L87" s="111"/>
      <c r="M87" s="11">
        <f>K87/E86*100</f>
        <v>100</v>
      </c>
    </row>
    <row r="88" spans="1:13" s="12" customFormat="1">
      <c r="A88" s="105"/>
      <c r="B88" s="126"/>
      <c r="C88" s="10" t="s">
        <v>34</v>
      </c>
      <c r="D88" s="127"/>
      <c r="E88" s="127"/>
      <c r="F88" s="21">
        <v>11.4</v>
      </c>
      <c r="G88" s="21">
        <v>11.3</v>
      </c>
      <c r="H88" s="22">
        <v>11.3</v>
      </c>
      <c r="I88" s="22">
        <v>11.3</v>
      </c>
      <c r="J88" s="22">
        <v>11.3</v>
      </c>
      <c r="K88" s="22">
        <v>11.3</v>
      </c>
      <c r="L88" s="112"/>
      <c r="M88" s="11">
        <f>K88/E86*100</f>
        <v>99.122807017543863</v>
      </c>
    </row>
    <row r="89" spans="1:13" s="12" customFormat="1" ht="15.75" customHeight="1">
      <c r="A89" s="103" t="s">
        <v>27</v>
      </c>
      <c r="B89" s="106" t="s">
        <v>3</v>
      </c>
      <c r="C89" s="10" t="s">
        <v>14</v>
      </c>
      <c r="D89" s="122">
        <v>1.8</v>
      </c>
      <c r="E89" s="122">
        <v>1.8</v>
      </c>
      <c r="F89" s="15">
        <v>2.5</v>
      </c>
      <c r="G89" s="15">
        <v>2.5</v>
      </c>
      <c r="H89" s="15">
        <v>2.5</v>
      </c>
      <c r="I89" s="15">
        <v>2.5</v>
      </c>
      <c r="J89" s="15">
        <v>2.5</v>
      </c>
      <c r="K89" s="15">
        <v>2.5</v>
      </c>
      <c r="L89" s="23" t="s">
        <v>12</v>
      </c>
      <c r="M89" s="16" t="s">
        <v>12</v>
      </c>
    </row>
    <row r="90" spans="1:13" s="12" customFormat="1">
      <c r="A90" s="104"/>
      <c r="B90" s="107"/>
      <c r="C90" s="10" t="s">
        <v>13</v>
      </c>
      <c r="D90" s="122"/>
      <c r="E90" s="122"/>
      <c r="F90" s="15">
        <v>1.8</v>
      </c>
      <c r="G90" s="15">
        <v>1.8</v>
      </c>
      <c r="H90" s="15">
        <v>1.8</v>
      </c>
      <c r="I90" s="15">
        <v>1.8</v>
      </c>
      <c r="J90" s="15">
        <v>1.8</v>
      </c>
      <c r="K90" s="15">
        <v>1.8</v>
      </c>
      <c r="L90" s="23"/>
      <c r="M90" s="11">
        <f>K90/E89*100</f>
        <v>100</v>
      </c>
    </row>
    <row r="91" spans="1:13" s="12" customFormat="1">
      <c r="A91" s="105"/>
      <c r="B91" s="108"/>
      <c r="C91" s="10" t="s">
        <v>34</v>
      </c>
      <c r="D91" s="122"/>
      <c r="E91" s="122"/>
      <c r="F91" s="15">
        <v>1.7</v>
      </c>
      <c r="G91" s="15">
        <v>1.7</v>
      </c>
      <c r="H91" s="15">
        <v>1.7</v>
      </c>
      <c r="I91" s="15">
        <v>1.7</v>
      </c>
      <c r="J91" s="15">
        <v>1.7</v>
      </c>
      <c r="K91" s="15">
        <v>1.7</v>
      </c>
      <c r="L91" s="23" t="s">
        <v>12</v>
      </c>
      <c r="M91" s="16" t="s">
        <v>12</v>
      </c>
    </row>
    <row r="92" spans="1:13" s="17" customFormat="1" ht="15.75" customHeight="1">
      <c r="A92" s="103" t="s">
        <v>28</v>
      </c>
      <c r="B92" s="106" t="s">
        <v>9</v>
      </c>
      <c r="C92" s="10" t="s">
        <v>14</v>
      </c>
      <c r="D92" s="127">
        <v>6418</v>
      </c>
      <c r="E92" s="127">
        <v>6970</v>
      </c>
      <c r="F92" s="21">
        <v>7388.2</v>
      </c>
      <c r="G92" s="21">
        <v>7831.5</v>
      </c>
      <c r="H92" s="11">
        <v>8301.4</v>
      </c>
      <c r="I92" s="15">
        <f>H92*I95/100</f>
        <v>8799.4839999999986</v>
      </c>
      <c r="J92" s="15">
        <f t="shared" ref="J92:J94" si="41">I92*J95/100</f>
        <v>9327.4530399999985</v>
      </c>
      <c r="K92" s="15">
        <f>J92*K95/100</f>
        <v>9887.1002223999985</v>
      </c>
      <c r="L92" s="110">
        <f>E92/D92*100</f>
        <v>108.60081022125271</v>
      </c>
      <c r="M92" s="11">
        <f t="shared" ref="M92" si="42">K92/E92*100</f>
        <v>141.85222700717358</v>
      </c>
    </row>
    <row r="93" spans="1:13" s="17" customFormat="1">
      <c r="A93" s="104"/>
      <c r="B93" s="107"/>
      <c r="C93" s="10" t="s">
        <v>13</v>
      </c>
      <c r="D93" s="127"/>
      <c r="E93" s="127"/>
      <c r="F93" s="21">
        <v>7437</v>
      </c>
      <c r="G93" s="21">
        <v>7935.3</v>
      </c>
      <c r="H93" s="26">
        <v>8466.9</v>
      </c>
      <c r="I93" s="15">
        <f t="shared" ref="I93:I94" si="43">H93*I96/100</f>
        <v>9034.1823000000004</v>
      </c>
      <c r="J93" s="15">
        <f t="shared" si="41"/>
        <v>9639.4725140999999</v>
      </c>
      <c r="K93" s="15">
        <f t="shared" ref="K93:K94" si="44">J93*K96/100</f>
        <v>10285.317172544699</v>
      </c>
      <c r="L93" s="111"/>
      <c r="M93" s="11">
        <f>K93/E92*100</f>
        <v>147.56552614841749</v>
      </c>
    </row>
    <row r="94" spans="1:13" s="17" customFormat="1">
      <c r="A94" s="105"/>
      <c r="B94" s="108"/>
      <c r="C94" s="10" t="s">
        <v>34</v>
      </c>
      <c r="D94" s="127"/>
      <c r="E94" s="127"/>
      <c r="F94" s="21">
        <v>7457.9</v>
      </c>
      <c r="G94" s="21">
        <v>7979.9</v>
      </c>
      <c r="H94" s="11">
        <v>5538.5</v>
      </c>
      <c r="I94" s="15">
        <f t="shared" si="43"/>
        <v>5926.1949999999997</v>
      </c>
      <c r="J94" s="15">
        <f t="shared" si="41"/>
        <v>6341.0286500000002</v>
      </c>
      <c r="K94" s="15">
        <f t="shared" si="44"/>
        <v>6784.9006555000005</v>
      </c>
      <c r="L94" s="112"/>
      <c r="M94" s="11">
        <f t="shared" ref="M94" si="45">K94/E92*100</f>
        <v>97.344342259684367</v>
      </c>
    </row>
    <row r="95" spans="1:13" s="12" customFormat="1" ht="15.75" customHeight="1">
      <c r="A95" s="113" t="s">
        <v>29</v>
      </c>
      <c r="B95" s="106" t="s">
        <v>30</v>
      </c>
      <c r="C95" s="10" t="s">
        <v>14</v>
      </c>
      <c r="D95" s="122">
        <v>112.7</v>
      </c>
      <c r="E95" s="122">
        <v>108.6</v>
      </c>
      <c r="F95" s="15">
        <v>106</v>
      </c>
      <c r="G95" s="15">
        <v>106</v>
      </c>
      <c r="H95" s="11">
        <v>106</v>
      </c>
      <c r="I95" s="11">
        <v>106</v>
      </c>
      <c r="J95" s="11">
        <v>106</v>
      </c>
      <c r="K95" s="11">
        <v>106</v>
      </c>
      <c r="L95" s="110"/>
      <c r="M95" s="11">
        <f t="shared" ref="M95" si="46">K95/E95*100</f>
        <v>97.605893186003684</v>
      </c>
    </row>
    <row r="96" spans="1:13" s="12" customFormat="1">
      <c r="A96" s="114"/>
      <c r="B96" s="107"/>
      <c r="C96" s="10" t="s">
        <v>13</v>
      </c>
      <c r="D96" s="122"/>
      <c r="E96" s="122"/>
      <c r="F96" s="15">
        <v>106.7</v>
      </c>
      <c r="G96" s="15">
        <v>106.7</v>
      </c>
      <c r="H96" s="26">
        <v>106.7</v>
      </c>
      <c r="I96" s="26">
        <v>106.7</v>
      </c>
      <c r="J96" s="26">
        <v>106.7</v>
      </c>
      <c r="K96" s="26">
        <v>106.7</v>
      </c>
      <c r="L96" s="111"/>
      <c r="M96" s="11">
        <f>K96/E95*100</f>
        <v>98.250460405156545</v>
      </c>
    </row>
    <row r="97" spans="1:13" s="12" customFormat="1">
      <c r="A97" s="115"/>
      <c r="B97" s="108"/>
      <c r="C97" s="10" t="s">
        <v>34</v>
      </c>
      <c r="D97" s="122"/>
      <c r="E97" s="122"/>
      <c r="F97" s="15">
        <v>107</v>
      </c>
      <c r="G97" s="15">
        <v>107</v>
      </c>
      <c r="H97" s="11">
        <v>107</v>
      </c>
      <c r="I97" s="11">
        <v>107</v>
      </c>
      <c r="J97" s="11">
        <v>107</v>
      </c>
      <c r="K97" s="11">
        <v>107</v>
      </c>
      <c r="L97" s="112"/>
      <c r="M97" s="11">
        <f t="shared" ref="M97" si="47">K97/E95*100</f>
        <v>98.52670349907919</v>
      </c>
    </row>
    <row r="98" spans="1:13" ht="49.5" customHeight="1">
      <c r="D98" s="4"/>
      <c r="E98" s="9"/>
      <c r="F98" s="4"/>
      <c r="G98" s="4"/>
      <c r="H98" s="4"/>
      <c r="I98" s="4"/>
      <c r="J98" s="4"/>
      <c r="K98" s="4"/>
      <c r="L98" s="4"/>
      <c r="M98" s="4"/>
    </row>
    <row r="99" spans="1:13">
      <c r="A99" s="2" t="s">
        <v>306</v>
      </c>
    </row>
    <row r="100" spans="1:13">
      <c r="A100" s="2" t="s">
        <v>21</v>
      </c>
      <c r="L100" s="1" t="s">
        <v>41</v>
      </c>
    </row>
  </sheetData>
  <mergeCells count="152">
    <mergeCell ref="D89:D91"/>
    <mergeCell ref="L76:L78"/>
    <mergeCell ref="A79:A81"/>
    <mergeCell ref="B79:B81"/>
    <mergeCell ref="D79:D81"/>
    <mergeCell ref="L79:L81"/>
    <mergeCell ref="A76:A78"/>
    <mergeCell ref="B76:B78"/>
    <mergeCell ref="D76:D78"/>
    <mergeCell ref="E76:E78"/>
    <mergeCell ref="E79:E81"/>
    <mergeCell ref="E89:E91"/>
    <mergeCell ref="A85:M85"/>
    <mergeCell ref="A95:A97"/>
    <mergeCell ref="B95:B97"/>
    <mergeCell ref="D95:D97"/>
    <mergeCell ref="E95:E97"/>
    <mergeCell ref="L95:L97"/>
    <mergeCell ref="D73:D75"/>
    <mergeCell ref="L73:L75"/>
    <mergeCell ref="A70:A72"/>
    <mergeCell ref="B70:B72"/>
    <mergeCell ref="D70:D72"/>
    <mergeCell ref="E70:E72"/>
    <mergeCell ref="E73:E75"/>
    <mergeCell ref="L92:L94"/>
    <mergeCell ref="A82:A84"/>
    <mergeCell ref="B82:B84"/>
    <mergeCell ref="D82:D84"/>
    <mergeCell ref="L82:L84"/>
    <mergeCell ref="A92:A94"/>
    <mergeCell ref="B92:B94"/>
    <mergeCell ref="D92:D94"/>
    <mergeCell ref="E92:E94"/>
    <mergeCell ref="E82:E84"/>
    <mergeCell ref="A89:A91"/>
    <mergeCell ref="B89:B91"/>
    <mergeCell ref="A73:A75"/>
    <mergeCell ref="B73:B75"/>
    <mergeCell ref="A69:M69"/>
    <mergeCell ref="A35:A37"/>
    <mergeCell ref="B35:B37"/>
    <mergeCell ref="D35:D37"/>
    <mergeCell ref="A66:A68"/>
    <mergeCell ref="B66:B68"/>
    <mergeCell ref="D66:D68"/>
    <mergeCell ref="L66:L68"/>
    <mergeCell ref="A63:A65"/>
    <mergeCell ref="B63:B65"/>
    <mergeCell ref="D63:D65"/>
    <mergeCell ref="E63:E65"/>
    <mergeCell ref="E66:E68"/>
    <mergeCell ref="L35:L37"/>
    <mergeCell ref="L38:L40"/>
    <mergeCell ref="A38:A40"/>
    <mergeCell ref="B38:B40"/>
    <mergeCell ref="D38:D40"/>
    <mergeCell ref="E38:E40"/>
    <mergeCell ref="L53:L55"/>
    <mergeCell ref="A56:A58"/>
    <mergeCell ref="B56:B58"/>
    <mergeCell ref="A29:A31"/>
    <mergeCell ref="B29:B31"/>
    <mergeCell ref="D29:D31"/>
    <mergeCell ref="E29:E31"/>
    <mergeCell ref="L29:L31"/>
    <mergeCell ref="L32:L34"/>
    <mergeCell ref="A62:M62"/>
    <mergeCell ref="L63:L65"/>
    <mergeCell ref="L70:L72"/>
    <mergeCell ref="D56:D58"/>
    <mergeCell ref="L56:L58"/>
    <mergeCell ref="A53:A55"/>
    <mergeCell ref="B53:B55"/>
    <mergeCell ref="D53:D55"/>
    <mergeCell ref="E53:E55"/>
    <mergeCell ref="E56:E58"/>
    <mergeCell ref="L23:L25"/>
    <mergeCell ref="A26:A28"/>
    <mergeCell ref="B26:B28"/>
    <mergeCell ref="D26:D28"/>
    <mergeCell ref="L26:L28"/>
    <mergeCell ref="A23:A25"/>
    <mergeCell ref="B23:B25"/>
    <mergeCell ref="D23:D25"/>
    <mergeCell ref="E23:E25"/>
    <mergeCell ref="E26:E28"/>
    <mergeCell ref="A1:M1"/>
    <mergeCell ref="B2:M2"/>
    <mergeCell ref="A86:A88"/>
    <mergeCell ref="B86:B88"/>
    <mergeCell ref="D86:D88"/>
    <mergeCell ref="L86:L88"/>
    <mergeCell ref="E86:E88"/>
    <mergeCell ref="F8:K8"/>
    <mergeCell ref="A6:A8"/>
    <mergeCell ref="B6:B8"/>
    <mergeCell ref="C6:C8"/>
    <mergeCell ref="D6:K6"/>
    <mergeCell ref="L6:L8"/>
    <mergeCell ref="M6:M8"/>
    <mergeCell ref="A4:M4"/>
    <mergeCell ref="A5:G5"/>
    <mergeCell ref="A20:A22"/>
    <mergeCell ref="B20:B22"/>
    <mergeCell ref="D20:D22"/>
    <mergeCell ref="E20:E22"/>
    <mergeCell ref="L20:L22"/>
    <mergeCell ref="A9:M9"/>
    <mergeCell ref="A41:M41"/>
    <mergeCell ref="A42:A44"/>
    <mergeCell ref="B42:B44"/>
    <mergeCell ref="D42:D44"/>
    <mergeCell ref="E42:E44"/>
    <mergeCell ref="L42:L44"/>
    <mergeCell ref="L10:L12"/>
    <mergeCell ref="A13:A15"/>
    <mergeCell ref="B13:B15"/>
    <mergeCell ref="D13:D15"/>
    <mergeCell ref="L13:L15"/>
    <mergeCell ref="A10:A12"/>
    <mergeCell ref="B10:B12"/>
    <mergeCell ref="D10:D12"/>
    <mergeCell ref="E10:E12"/>
    <mergeCell ref="E13:E15"/>
    <mergeCell ref="L17:L19"/>
    <mergeCell ref="A17:A19"/>
    <mergeCell ref="B17:B19"/>
    <mergeCell ref="D17:D19"/>
    <mergeCell ref="E17:E19"/>
    <mergeCell ref="A32:A34"/>
    <mergeCell ref="B32:B34"/>
    <mergeCell ref="D32:D34"/>
    <mergeCell ref="E32:E34"/>
    <mergeCell ref="E35:E37"/>
    <mergeCell ref="A52:M52"/>
    <mergeCell ref="A59:A61"/>
    <mergeCell ref="B59:B61"/>
    <mergeCell ref="D59:D61"/>
    <mergeCell ref="E59:E61"/>
    <mergeCell ref="L59:L61"/>
    <mergeCell ref="A45:A47"/>
    <mergeCell ref="B45:B47"/>
    <mergeCell ref="D45:D47"/>
    <mergeCell ref="E45:E47"/>
    <mergeCell ref="L45:L47"/>
    <mergeCell ref="A48:M48"/>
    <mergeCell ref="A49:A51"/>
    <mergeCell ref="B49:B51"/>
    <mergeCell ref="D49:D51"/>
    <mergeCell ref="E49:E51"/>
    <mergeCell ref="L49:L51"/>
  </mergeCells>
  <pageMargins left="0.47244094488188981" right="0.35433070866141736" top="0.78740157480314965" bottom="0.39370078740157483" header="0.31496062992125984" footer="0.31496062992125984"/>
  <pageSetup paperSize="9" scale="78" firstPageNumber="36" fitToHeight="0" orientation="landscape" useFirstPageNumber="1" r:id="rId1"/>
  <headerFooter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237"/>
  <sheetViews>
    <sheetView topLeftCell="A157" workbookViewId="0">
      <selection activeCell="B174" sqref="B174"/>
    </sheetView>
  </sheetViews>
  <sheetFormatPr defaultRowHeight="12.75"/>
  <cols>
    <col min="1" max="1" width="3" customWidth="1"/>
    <col min="2" max="2" width="74.28515625" customWidth="1"/>
    <col min="3" max="3" width="21" customWidth="1"/>
    <col min="4" max="4" width="12.7109375" customWidth="1"/>
    <col min="5" max="5" width="13.42578125" customWidth="1"/>
    <col min="6" max="6" width="14.5703125" customWidth="1"/>
    <col min="7" max="8" width="14.7109375" customWidth="1"/>
    <col min="9" max="10" width="12.28515625" customWidth="1"/>
    <col min="11" max="11" width="13.7109375" customWidth="1"/>
    <col min="12" max="15" width="12.28515625" customWidth="1"/>
    <col min="16" max="16" width="14.5703125" customWidth="1"/>
    <col min="257" max="257" width="3" customWidth="1"/>
    <col min="258" max="258" width="74.28515625" customWidth="1"/>
    <col min="259" max="259" width="21" customWidth="1"/>
    <col min="260" max="260" width="12.7109375" customWidth="1"/>
    <col min="261" max="261" width="13.42578125" customWidth="1"/>
    <col min="262" max="262" width="14.5703125" customWidth="1"/>
    <col min="263" max="264" width="14.7109375" customWidth="1"/>
    <col min="265" max="266" width="12.28515625" customWidth="1"/>
    <col min="267" max="267" width="13.7109375" customWidth="1"/>
    <col min="268" max="271" width="12.28515625" customWidth="1"/>
    <col min="272" max="272" width="14.5703125" customWidth="1"/>
    <col min="513" max="513" width="3" customWidth="1"/>
    <col min="514" max="514" width="74.28515625" customWidth="1"/>
    <col min="515" max="515" width="21" customWidth="1"/>
    <col min="516" max="516" width="12.7109375" customWidth="1"/>
    <col min="517" max="517" width="13.42578125" customWidth="1"/>
    <col min="518" max="518" width="14.5703125" customWidth="1"/>
    <col min="519" max="520" width="14.7109375" customWidth="1"/>
    <col min="521" max="522" width="12.28515625" customWidth="1"/>
    <col min="523" max="523" width="13.7109375" customWidth="1"/>
    <col min="524" max="527" width="12.28515625" customWidth="1"/>
    <col min="528" max="528" width="14.5703125" customWidth="1"/>
    <col min="769" max="769" width="3" customWidth="1"/>
    <col min="770" max="770" width="74.28515625" customWidth="1"/>
    <col min="771" max="771" width="21" customWidth="1"/>
    <col min="772" max="772" width="12.7109375" customWidth="1"/>
    <col min="773" max="773" width="13.42578125" customWidth="1"/>
    <col min="774" max="774" width="14.5703125" customWidth="1"/>
    <col min="775" max="776" width="14.7109375" customWidth="1"/>
    <col min="777" max="778" width="12.28515625" customWidth="1"/>
    <col min="779" max="779" width="13.7109375" customWidth="1"/>
    <col min="780" max="783" width="12.28515625" customWidth="1"/>
    <col min="784" max="784" width="14.5703125" customWidth="1"/>
    <col min="1025" max="1025" width="3" customWidth="1"/>
    <col min="1026" max="1026" width="74.28515625" customWidth="1"/>
    <col min="1027" max="1027" width="21" customWidth="1"/>
    <col min="1028" max="1028" width="12.7109375" customWidth="1"/>
    <col min="1029" max="1029" width="13.42578125" customWidth="1"/>
    <col min="1030" max="1030" width="14.5703125" customWidth="1"/>
    <col min="1031" max="1032" width="14.7109375" customWidth="1"/>
    <col min="1033" max="1034" width="12.28515625" customWidth="1"/>
    <col min="1035" max="1035" width="13.7109375" customWidth="1"/>
    <col min="1036" max="1039" width="12.28515625" customWidth="1"/>
    <col min="1040" max="1040" width="14.5703125" customWidth="1"/>
    <col min="1281" max="1281" width="3" customWidth="1"/>
    <col min="1282" max="1282" width="74.28515625" customWidth="1"/>
    <col min="1283" max="1283" width="21" customWidth="1"/>
    <col min="1284" max="1284" width="12.7109375" customWidth="1"/>
    <col min="1285" max="1285" width="13.42578125" customWidth="1"/>
    <col min="1286" max="1286" width="14.5703125" customWidth="1"/>
    <col min="1287" max="1288" width="14.7109375" customWidth="1"/>
    <col min="1289" max="1290" width="12.28515625" customWidth="1"/>
    <col min="1291" max="1291" width="13.7109375" customWidth="1"/>
    <col min="1292" max="1295" width="12.28515625" customWidth="1"/>
    <col min="1296" max="1296" width="14.5703125" customWidth="1"/>
    <col min="1537" max="1537" width="3" customWidth="1"/>
    <col min="1538" max="1538" width="74.28515625" customWidth="1"/>
    <col min="1539" max="1539" width="21" customWidth="1"/>
    <col min="1540" max="1540" width="12.7109375" customWidth="1"/>
    <col min="1541" max="1541" width="13.42578125" customWidth="1"/>
    <col min="1542" max="1542" width="14.5703125" customWidth="1"/>
    <col min="1543" max="1544" width="14.7109375" customWidth="1"/>
    <col min="1545" max="1546" width="12.28515625" customWidth="1"/>
    <col min="1547" max="1547" width="13.7109375" customWidth="1"/>
    <col min="1548" max="1551" width="12.28515625" customWidth="1"/>
    <col min="1552" max="1552" width="14.5703125" customWidth="1"/>
    <col min="1793" max="1793" width="3" customWidth="1"/>
    <col min="1794" max="1794" width="74.28515625" customWidth="1"/>
    <col min="1795" max="1795" width="21" customWidth="1"/>
    <col min="1796" max="1796" width="12.7109375" customWidth="1"/>
    <col min="1797" max="1797" width="13.42578125" customWidth="1"/>
    <col min="1798" max="1798" width="14.5703125" customWidth="1"/>
    <col min="1799" max="1800" width="14.7109375" customWidth="1"/>
    <col min="1801" max="1802" width="12.28515625" customWidth="1"/>
    <col min="1803" max="1803" width="13.7109375" customWidth="1"/>
    <col min="1804" max="1807" width="12.28515625" customWidth="1"/>
    <col min="1808" max="1808" width="14.5703125" customWidth="1"/>
    <col min="2049" max="2049" width="3" customWidth="1"/>
    <col min="2050" max="2050" width="74.28515625" customWidth="1"/>
    <col min="2051" max="2051" width="21" customWidth="1"/>
    <col min="2052" max="2052" width="12.7109375" customWidth="1"/>
    <col min="2053" max="2053" width="13.42578125" customWidth="1"/>
    <col min="2054" max="2054" width="14.5703125" customWidth="1"/>
    <col min="2055" max="2056" width="14.7109375" customWidth="1"/>
    <col min="2057" max="2058" width="12.28515625" customWidth="1"/>
    <col min="2059" max="2059" width="13.7109375" customWidth="1"/>
    <col min="2060" max="2063" width="12.28515625" customWidth="1"/>
    <col min="2064" max="2064" width="14.5703125" customWidth="1"/>
    <col min="2305" max="2305" width="3" customWidth="1"/>
    <col min="2306" max="2306" width="74.28515625" customWidth="1"/>
    <col min="2307" max="2307" width="21" customWidth="1"/>
    <col min="2308" max="2308" width="12.7109375" customWidth="1"/>
    <col min="2309" max="2309" width="13.42578125" customWidth="1"/>
    <col min="2310" max="2310" width="14.5703125" customWidth="1"/>
    <col min="2311" max="2312" width="14.7109375" customWidth="1"/>
    <col min="2313" max="2314" width="12.28515625" customWidth="1"/>
    <col min="2315" max="2315" width="13.7109375" customWidth="1"/>
    <col min="2316" max="2319" width="12.28515625" customWidth="1"/>
    <col min="2320" max="2320" width="14.5703125" customWidth="1"/>
    <col min="2561" max="2561" width="3" customWidth="1"/>
    <col min="2562" max="2562" width="74.28515625" customWidth="1"/>
    <col min="2563" max="2563" width="21" customWidth="1"/>
    <col min="2564" max="2564" width="12.7109375" customWidth="1"/>
    <col min="2565" max="2565" width="13.42578125" customWidth="1"/>
    <col min="2566" max="2566" width="14.5703125" customWidth="1"/>
    <col min="2567" max="2568" width="14.7109375" customWidth="1"/>
    <col min="2569" max="2570" width="12.28515625" customWidth="1"/>
    <col min="2571" max="2571" width="13.7109375" customWidth="1"/>
    <col min="2572" max="2575" width="12.28515625" customWidth="1"/>
    <col min="2576" max="2576" width="14.5703125" customWidth="1"/>
    <col min="2817" max="2817" width="3" customWidth="1"/>
    <col min="2818" max="2818" width="74.28515625" customWidth="1"/>
    <col min="2819" max="2819" width="21" customWidth="1"/>
    <col min="2820" max="2820" width="12.7109375" customWidth="1"/>
    <col min="2821" max="2821" width="13.42578125" customWidth="1"/>
    <col min="2822" max="2822" width="14.5703125" customWidth="1"/>
    <col min="2823" max="2824" width="14.7109375" customWidth="1"/>
    <col min="2825" max="2826" width="12.28515625" customWidth="1"/>
    <col min="2827" max="2827" width="13.7109375" customWidth="1"/>
    <col min="2828" max="2831" width="12.28515625" customWidth="1"/>
    <col min="2832" max="2832" width="14.5703125" customWidth="1"/>
    <col min="3073" max="3073" width="3" customWidth="1"/>
    <col min="3074" max="3074" width="74.28515625" customWidth="1"/>
    <col min="3075" max="3075" width="21" customWidth="1"/>
    <col min="3076" max="3076" width="12.7109375" customWidth="1"/>
    <col min="3077" max="3077" width="13.42578125" customWidth="1"/>
    <col min="3078" max="3078" width="14.5703125" customWidth="1"/>
    <col min="3079" max="3080" width="14.7109375" customWidth="1"/>
    <col min="3081" max="3082" width="12.28515625" customWidth="1"/>
    <col min="3083" max="3083" width="13.7109375" customWidth="1"/>
    <col min="3084" max="3087" width="12.28515625" customWidth="1"/>
    <col min="3088" max="3088" width="14.5703125" customWidth="1"/>
    <col min="3329" max="3329" width="3" customWidth="1"/>
    <col min="3330" max="3330" width="74.28515625" customWidth="1"/>
    <col min="3331" max="3331" width="21" customWidth="1"/>
    <col min="3332" max="3332" width="12.7109375" customWidth="1"/>
    <col min="3333" max="3333" width="13.42578125" customWidth="1"/>
    <col min="3334" max="3334" width="14.5703125" customWidth="1"/>
    <col min="3335" max="3336" width="14.7109375" customWidth="1"/>
    <col min="3337" max="3338" width="12.28515625" customWidth="1"/>
    <col min="3339" max="3339" width="13.7109375" customWidth="1"/>
    <col min="3340" max="3343" width="12.28515625" customWidth="1"/>
    <col min="3344" max="3344" width="14.5703125" customWidth="1"/>
    <col min="3585" max="3585" width="3" customWidth="1"/>
    <col min="3586" max="3586" width="74.28515625" customWidth="1"/>
    <col min="3587" max="3587" width="21" customWidth="1"/>
    <col min="3588" max="3588" width="12.7109375" customWidth="1"/>
    <col min="3589" max="3589" width="13.42578125" customWidth="1"/>
    <col min="3590" max="3590" width="14.5703125" customWidth="1"/>
    <col min="3591" max="3592" width="14.7109375" customWidth="1"/>
    <col min="3593" max="3594" width="12.28515625" customWidth="1"/>
    <col min="3595" max="3595" width="13.7109375" customWidth="1"/>
    <col min="3596" max="3599" width="12.28515625" customWidth="1"/>
    <col min="3600" max="3600" width="14.5703125" customWidth="1"/>
    <col min="3841" max="3841" width="3" customWidth="1"/>
    <col min="3842" max="3842" width="74.28515625" customWidth="1"/>
    <col min="3843" max="3843" width="21" customWidth="1"/>
    <col min="3844" max="3844" width="12.7109375" customWidth="1"/>
    <col min="3845" max="3845" width="13.42578125" customWidth="1"/>
    <col min="3846" max="3846" width="14.5703125" customWidth="1"/>
    <col min="3847" max="3848" width="14.7109375" customWidth="1"/>
    <col min="3849" max="3850" width="12.28515625" customWidth="1"/>
    <col min="3851" max="3851" width="13.7109375" customWidth="1"/>
    <col min="3852" max="3855" width="12.28515625" customWidth="1"/>
    <col min="3856" max="3856" width="14.5703125" customWidth="1"/>
    <col min="4097" max="4097" width="3" customWidth="1"/>
    <col min="4098" max="4098" width="74.28515625" customWidth="1"/>
    <col min="4099" max="4099" width="21" customWidth="1"/>
    <col min="4100" max="4100" width="12.7109375" customWidth="1"/>
    <col min="4101" max="4101" width="13.42578125" customWidth="1"/>
    <col min="4102" max="4102" width="14.5703125" customWidth="1"/>
    <col min="4103" max="4104" width="14.7109375" customWidth="1"/>
    <col min="4105" max="4106" width="12.28515625" customWidth="1"/>
    <col min="4107" max="4107" width="13.7109375" customWidth="1"/>
    <col min="4108" max="4111" width="12.28515625" customWidth="1"/>
    <col min="4112" max="4112" width="14.5703125" customWidth="1"/>
    <col min="4353" max="4353" width="3" customWidth="1"/>
    <col min="4354" max="4354" width="74.28515625" customWidth="1"/>
    <col min="4355" max="4355" width="21" customWidth="1"/>
    <col min="4356" max="4356" width="12.7109375" customWidth="1"/>
    <col min="4357" max="4357" width="13.42578125" customWidth="1"/>
    <col min="4358" max="4358" width="14.5703125" customWidth="1"/>
    <col min="4359" max="4360" width="14.7109375" customWidth="1"/>
    <col min="4361" max="4362" width="12.28515625" customWidth="1"/>
    <col min="4363" max="4363" width="13.7109375" customWidth="1"/>
    <col min="4364" max="4367" width="12.28515625" customWidth="1"/>
    <col min="4368" max="4368" width="14.5703125" customWidth="1"/>
    <col min="4609" max="4609" width="3" customWidth="1"/>
    <col min="4610" max="4610" width="74.28515625" customWidth="1"/>
    <col min="4611" max="4611" width="21" customWidth="1"/>
    <col min="4612" max="4612" width="12.7109375" customWidth="1"/>
    <col min="4613" max="4613" width="13.42578125" customWidth="1"/>
    <col min="4614" max="4614" width="14.5703125" customWidth="1"/>
    <col min="4615" max="4616" width="14.7109375" customWidth="1"/>
    <col min="4617" max="4618" width="12.28515625" customWidth="1"/>
    <col min="4619" max="4619" width="13.7109375" customWidth="1"/>
    <col min="4620" max="4623" width="12.28515625" customWidth="1"/>
    <col min="4624" max="4624" width="14.5703125" customWidth="1"/>
    <col min="4865" max="4865" width="3" customWidth="1"/>
    <col min="4866" max="4866" width="74.28515625" customWidth="1"/>
    <col min="4867" max="4867" width="21" customWidth="1"/>
    <col min="4868" max="4868" width="12.7109375" customWidth="1"/>
    <col min="4869" max="4869" width="13.42578125" customWidth="1"/>
    <col min="4870" max="4870" width="14.5703125" customWidth="1"/>
    <col min="4871" max="4872" width="14.7109375" customWidth="1"/>
    <col min="4873" max="4874" width="12.28515625" customWidth="1"/>
    <col min="4875" max="4875" width="13.7109375" customWidth="1"/>
    <col min="4876" max="4879" width="12.28515625" customWidth="1"/>
    <col min="4880" max="4880" width="14.5703125" customWidth="1"/>
    <col min="5121" max="5121" width="3" customWidth="1"/>
    <col min="5122" max="5122" width="74.28515625" customWidth="1"/>
    <col min="5123" max="5123" width="21" customWidth="1"/>
    <col min="5124" max="5124" width="12.7109375" customWidth="1"/>
    <col min="5125" max="5125" width="13.42578125" customWidth="1"/>
    <col min="5126" max="5126" width="14.5703125" customWidth="1"/>
    <col min="5127" max="5128" width="14.7109375" customWidth="1"/>
    <col min="5129" max="5130" width="12.28515625" customWidth="1"/>
    <col min="5131" max="5131" width="13.7109375" customWidth="1"/>
    <col min="5132" max="5135" width="12.28515625" customWidth="1"/>
    <col min="5136" max="5136" width="14.5703125" customWidth="1"/>
    <col min="5377" max="5377" width="3" customWidth="1"/>
    <col min="5378" max="5378" width="74.28515625" customWidth="1"/>
    <col min="5379" max="5379" width="21" customWidth="1"/>
    <col min="5380" max="5380" width="12.7109375" customWidth="1"/>
    <col min="5381" max="5381" width="13.42578125" customWidth="1"/>
    <col min="5382" max="5382" width="14.5703125" customWidth="1"/>
    <col min="5383" max="5384" width="14.7109375" customWidth="1"/>
    <col min="5385" max="5386" width="12.28515625" customWidth="1"/>
    <col min="5387" max="5387" width="13.7109375" customWidth="1"/>
    <col min="5388" max="5391" width="12.28515625" customWidth="1"/>
    <col min="5392" max="5392" width="14.5703125" customWidth="1"/>
    <col min="5633" max="5633" width="3" customWidth="1"/>
    <col min="5634" max="5634" width="74.28515625" customWidth="1"/>
    <col min="5635" max="5635" width="21" customWidth="1"/>
    <col min="5636" max="5636" width="12.7109375" customWidth="1"/>
    <col min="5637" max="5637" width="13.42578125" customWidth="1"/>
    <col min="5638" max="5638" width="14.5703125" customWidth="1"/>
    <col min="5639" max="5640" width="14.7109375" customWidth="1"/>
    <col min="5641" max="5642" width="12.28515625" customWidth="1"/>
    <col min="5643" max="5643" width="13.7109375" customWidth="1"/>
    <col min="5644" max="5647" width="12.28515625" customWidth="1"/>
    <col min="5648" max="5648" width="14.5703125" customWidth="1"/>
    <col min="5889" max="5889" width="3" customWidth="1"/>
    <col min="5890" max="5890" width="74.28515625" customWidth="1"/>
    <col min="5891" max="5891" width="21" customWidth="1"/>
    <col min="5892" max="5892" width="12.7109375" customWidth="1"/>
    <col min="5893" max="5893" width="13.42578125" customWidth="1"/>
    <col min="5894" max="5894" width="14.5703125" customWidth="1"/>
    <col min="5895" max="5896" width="14.7109375" customWidth="1"/>
    <col min="5897" max="5898" width="12.28515625" customWidth="1"/>
    <col min="5899" max="5899" width="13.7109375" customWidth="1"/>
    <col min="5900" max="5903" width="12.28515625" customWidth="1"/>
    <col min="5904" max="5904" width="14.5703125" customWidth="1"/>
    <col min="6145" max="6145" width="3" customWidth="1"/>
    <col min="6146" max="6146" width="74.28515625" customWidth="1"/>
    <col min="6147" max="6147" width="21" customWidth="1"/>
    <col min="6148" max="6148" width="12.7109375" customWidth="1"/>
    <col min="6149" max="6149" width="13.42578125" customWidth="1"/>
    <col min="6150" max="6150" width="14.5703125" customWidth="1"/>
    <col min="6151" max="6152" width="14.7109375" customWidth="1"/>
    <col min="6153" max="6154" width="12.28515625" customWidth="1"/>
    <col min="6155" max="6155" width="13.7109375" customWidth="1"/>
    <col min="6156" max="6159" width="12.28515625" customWidth="1"/>
    <col min="6160" max="6160" width="14.5703125" customWidth="1"/>
    <col min="6401" max="6401" width="3" customWidth="1"/>
    <col min="6402" max="6402" width="74.28515625" customWidth="1"/>
    <col min="6403" max="6403" width="21" customWidth="1"/>
    <col min="6404" max="6404" width="12.7109375" customWidth="1"/>
    <col min="6405" max="6405" width="13.42578125" customWidth="1"/>
    <col min="6406" max="6406" width="14.5703125" customWidth="1"/>
    <col min="6407" max="6408" width="14.7109375" customWidth="1"/>
    <col min="6409" max="6410" width="12.28515625" customWidth="1"/>
    <col min="6411" max="6411" width="13.7109375" customWidth="1"/>
    <col min="6412" max="6415" width="12.28515625" customWidth="1"/>
    <col min="6416" max="6416" width="14.5703125" customWidth="1"/>
    <col min="6657" max="6657" width="3" customWidth="1"/>
    <col min="6658" max="6658" width="74.28515625" customWidth="1"/>
    <col min="6659" max="6659" width="21" customWidth="1"/>
    <col min="6660" max="6660" width="12.7109375" customWidth="1"/>
    <col min="6661" max="6661" width="13.42578125" customWidth="1"/>
    <col min="6662" max="6662" width="14.5703125" customWidth="1"/>
    <col min="6663" max="6664" width="14.7109375" customWidth="1"/>
    <col min="6665" max="6666" width="12.28515625" customWidth="1"/>
    <col min="6667" max="6667" width="13.7109375" customWidth="1"/>
    <col min="6668" max="6671" width="12.28515625" customWidth="1"/>
    <col min="6672" max="6672" width="14.5703125" customWidth="1"/>
    <col min="6913" max="6913" width="3" customWidth="1"/>
    <col min="6914" max="6914" width="74.28515625" customWidth="1"/>
    <col min="6915" max="6915" width="21" customWidth="1"/>
    <col min="6916" max="6916" width="12.7109375" customWidth="1"/>
    <col min="6917" max="6917" width="13.42578125" customWidth="1"/>
    <col min="6918" max="6918" width="14.5703125" customWidth="1"/>
    <col min="6919" max="6920" width="14.7109375" customWidth="1"/>
    <col min="6921" max="6922" width="12.28515625" customWidth="1"/>
    <col min="6923" max="6923" width="13.7109375" customWidth="1"/>
    <col min="6924" max="6927" width="12.28515625" customWidth="1"/>
    <col min="6928" max="6928" width="14.5703125" customWidth="1"/>
    <col min="7169" max="7169" width="3" customWidth="1"/>
    <col min="7170" max="7170" width="74.28515625" customWidth="1"/>
    <col min="7171" max="7171" width="21" customWidth="1"/>
    <col min="7172" max="7172" width="12.7109375" customWidth="1"/>
    <col min="7173" max="7173" width="13.42578125" customWidth="1"/>
    <col min="7174" max="7174" width="14.5703125" customWidth="1"/>
    <col min="7175" max="7176" width="14.7109375" customWidth="1"/>
    <col min="7177" max="7178" width="12.28515625" customWidth="1"/>
    <col min="7179" max="7179" width="13.7109375" customWidth="1"/>
    <col min="7180" max="7183" width="12.28515625" customWidth="1"/>
    <col min="7184" max="7184" width="14.5703125" customWidth="1"/>
    <col min="7425" max="7425" width="3" customWidth="1"/>
    <col min="7426" max="7426" width="74.28515625" customWidth="1"/>
    <col min="7427" max="7427" width="21" customWidth="1"/>
    <col min="7428" max="7428" width="12.7109375" customWidth="1"/>
    <col min="7429" max="7429" width="13.42578125" customWidth="1"/>
    <col min="7430" max="7430" width="14.5703125" customWidth="1"/>
    <col min="7431" max="7432" width="14.7109375" customWidth="1"/>
    <col min="7433" max="7434" width="12.28515625" customWidth="1"/>
    <col min="7435" max="7435" width="13.7109375" customWidth="1"/>
    <col min="7436" max="7439" width="12.28515625" customWidth="1"/>
    <col min="7440" max="7440" width="14.5703125" customWidth="1"/>
    <col min="7681" max="7681" width="3" customWidth="1"/>
    <col min="7682" max="7682" width="74.28515625" customWidth="1"/>
    <col min="7683" max="7683" width="21" customWidth="1"/>
    <col min="7684" max="7684" width="12.7109375" customWidth="1"/>
    <col min="7685" max="7685" width="13.42578125" customWidth="1"/>
    <col min="7686" max="7686" width="14.5703125" customWidth="1"/>
    <col min="7687" max="7688" width="14.7109375" customWidth="1"/>
    <col min="7689" max="7690" width="12.28515625" customWidth="1"/>
    <col min="7691" max="7691" width="13.7109375" customWidth="1"/>
    <col min="7692" max="7695" width="12.28515625" customWidth="1"/>
    <col min="7696" max="7696" width="14.5703125" customWidth="1"/>
    <col min="7937" max="7937" width="3" customWidth="1"/>
    <col min="7938" max="7938" width="74.28515625" customWidth="1"/>
    <col min="7939" max="7939" width="21" customWidth="1"/>
    <col min="7940" max="7940" width="12.7109375" customWidth="1"/>
    <col min="7941" max="7941" width="13.42578125" customWidth="1"/>
    <col min="7942" max="7942" width="14.5703125" customWidth="1"/>
    <col min="7943" max="7944" width="14.7109375" customWidth="1"/>
    <col min="7945" max="7946" width="12.28515625" customWidth="1"/>
    <col min="7947" max="7947" width="13.7109375" customWidth="1"/>
    <col min="7948" max="7951" width="12.28515625" customWidth="1"/>
    <col min="7952" max="7952" width="14.5703125" customWidth="1"/>
    <col min="8193" max="8193" width="3" customWidth="1"/>
    <col min="8194" max="8194" width="74.28515625" customWidth="1"/>
    <col min="8195" max="8195" width="21" customWidth="1"/>
    <col min="8196" max="8196" width="12.7109375" customWidth="1"/>
    <col min="8197" max="8197" width="13.42578125" customWidth="1"/>
    <col min="8198" max="8198" width="14.5703125" customWidth="1"/>
    <col min="8199" max="8200" width="14.7109375" customWidth="1"/>
    <col min="8201" max="8202" width="12.28515625" customWidth="1"/>
    <col min="8203" max="8203" width="13.7109375" customWidth="1"/>
    <col min="8204" max="8207" width="12.28515625" customWidth="1"/>
    <col min="8208" max="8208" width="14.5703125" customWidth="1"/>
    <col min="8449" max="8449" width="3" customWidth="1"/>
    <col min="8450" max="8450" width="74.28515625" customWidth="1"/>
    <col min="8451" max="8451" width="21" customWidth="1"/>
    <col min="8452" max="8452" width="12.7109375" customWidth="1"/>
    <col min="8453" max="8453" width="13.42578125" customWidth="1"/>
    <col min="8454" max="8454" width="14.5703125" customWidth="1"/>
    <col min="8455" max="8456" width="14.7109375" customWidth="1"/>
    <col min="8457" max="8458" width="12.28515625" customWidth="1"/>
    <col min="8459" max="8459" width="13.7109375" customWidth="1"/>
    <col min="8460" max="8463" width="12.28515625" customWidth="1"/>
    <col min="8464" max="8464" width="14.5703125" customWidth="1"/>
    <col min="8705" max="8705" width="3" customWidth="1"/>
    <col min="8706" max="8706" width="74.28515625" customWidth="1"/>
    <col min="8707" max="8707" width="21" customWidth="1"/>
    <col min="8708" max="8708" width="12.7109375" customWidth="1"/>
    <col min="8709" max="8709" width="13.42578125" customWidth="1"/>
    <col min="8710" max="8710" width="14.5703125" customWidth="1"/>
    <col min="8711" max="8712" width="14.7109375" customWidth="1"/>
    <col min="8713" max="8714" width="12.28515625" customWidth="1"/>
    <col min="8715" max="8715" width="13.7109375" customWidth="1"/>
    <col min="8716" max="8719" width="12.28515625" customWidth="1"/>
    <col min="8720" max="8720" width="14.5703125" customWidth="1"/>
    <col min="8961" max="8961" width="3" customWidth="1"/>
    <col min="8962" max="8962" width="74.28515625" customWidth="1"/>
    <col min="8963" max="8963" width="21" customWidth="1"/>
    <col min="8964" max="8964" width="12.7109375" customWidth="1"/>
    <col min="8965" max="8965" width="13.42578125" customWidth="1"/>
    <col min="8966" max="8966" width="14.5703125" customWidth="1"/>
    <col min="8967" max="8968" width="14.7109375" customWidth="1"/>
    <col min="8969" max="8970" width="12.28515625" customWidth="1"/>
    <col min="8971" max="8971" width="13.7109375" customWidth="1"/>
    <col min="8972" max="8975" width="12.28515625" customWidth="1"/>
    <col min="8976" max="8976" width="14.5703125" customWidth="1"/>
    <col min="9217" max="9217" width="3" customWidth="1"/>
    <col min="9218" max="9218" width="74.28515625" customWidth="1"/>
    <col min="9219" max="9219" width="21" customWidth="1"/>
    <col min="9220" max="9220" width="12.7109375" customWidth="1"/>
    <col min="9221" max="9221" width="13.42578125" customWidth="1"/>
    <col min="9222" max="9222" width="14.5703125" customWidth="1"/>
    <col min="9223" max="9224" width="14.7109375" customWidth="1"/>
    <col min="9225" max="9226" width="12.28515625" customWidth="1"/>
    <col min="9227" max="9227" width="13.7109375" customWidth="1"/>
    <col min="9228" max="9231" width="12.28515625" customWidth="1"/>
    <col min="9232" max="9232" width="14.5703125" customWidth="1"/>
    <col min="9473" max="9473" width="3" customWidth="1"/>
    <col min="9474" max="9474" width="74.28515625" customWidth="1"/>
    <col min="9475" max="9475" width="21" customWidth="1"/>
    <col min="9476" max="9476" width="12.7109375" customWidth="1"/>
    <col min="9477" max="9477" width="13.42578125" customWidth="1"/>
    <col min="9478" max="9478" width="14.5703125" customWidth="1"/>
    <col min="9479" max="9480" width="14.7109375" customWidth="1"/>
    <col min="9481" max="9482" width="12.28515625" customWidth="1"/>
    <col min="9483" max="9483" width="13.7109375" customWidth="1"/>
    <col min="9484" max="9487" width="12.28515625" customWidth="1"/>
    <col min="9488" max="9488" width="14.5703125" customWidth="1"/>
    <col min="9729" max="9729" width="3" customWidth="1"/>
    <col min="9730" max="9730" width="74.28515625" customWidth="1"/>
    <col min="9731" max="9731" width="21" customWidth="1"/>
    <col min="9732" max="9732" width="12.7109375" customWidth="1"/>
    <col min="9733" max="9733" width="13.42578125" customWidth="1"/>
    <col min="9734" max="9734" width="14.5703125" customWidth="1"/>
    <col min="9735" max="9736" width="14.7109375" customWidth="1"/>
    <col min="9737" max="9738" width="12.28515625" customWidth="1"/>
    <col min="9739" max="9739" width="13.7109375" customWidth="1"/>
    <col min="9740" max="9743" width="12.28515625" customWidth="1"/>
    <col min="9744" max="9744" width="14.5703125" customWidth="1"/>
    <col min="9985" max="9985" width="3" customWidth="1"/>
    <col min="9986" max="9986" width="74.28515625" customWidth="1"/>
    <col min="9987" max="9987" width="21" customWidth="1"/>
    <col min="9988" max="9988" width="12.7109375" customWidth="1"/>
    <col min="9989" max="9989" width="13.42578125" customWidth="1"/>
    <col min="9990" max="9990" width="14.5703125" customWidth="1"/>
    <col min="9991" max="9992" width="14.7109375" customWidth="1"/>
    <col min="9993" max="9994" width="12.28515625" customWidth="1"/>
    <col min="9995" max="9995" width="13.7109375" customWidth="1"/>
    <col min="9996" max="9999" width="12.28515625" customWidth="1"/>
    <col min="10000" max="10000" width="14.5703125" customWidth="1"/>
    <col min="10241" max="10241" width="3" customWidth="1"/>
    <col min="10242" max="10242" width="74.28515625" customWidth="1"/>
    <col min="10243" max="10243" width="21" customWidth="1"/>
    <col min="10244" max="10244" width="12.7109375" customWidth="1"/>
    <col min="10245" max="10245" width="13.42578125" customWidth="1"/>
    <col min="10246" max="10246" width="14.5703125" customWidth="1"/>
    <col min="10247" max="10248" width="14.7109375" customWidth="1"/>
    <col min="10249" max="10250" width="12.28515625" customWidth="1"/>
    <col min="10251" max="10251" width="13.7109375" customWidth="1"/>
    <col min="10252" max="10255" width="12.28515625" customWidth="1"/>
    <col min="10256" max="10256" width="14.5703125" customWidth="1"/>
    <col min="10497" max="10497" width="3" customWidth="1"/>
    <col min="10498" max="10498" width="74.28515625" customWidth="1"/>
    <col min="10499" max="10499" width="21" customWidth="1"/>
    <col min="10500" max="10500" width="12.7109375" customWidth="1"/>
    <col min="10501" max="10501" width="13.42578125" customWidth="1"/>
    <col min="10502" max="10502" width="14.5703125" customWidth="1"/>
    <col min="10503" max="10504" width="14.7109375" customWidth="1"/>
    <col min="10505" max="10506" width="12.28515625" customWidth="1"/>
    <col min="10507" max="10507" width="13.7109375" customWidth="1"/>
    <col min="10508" max="10511" width="12.28515625" customWidth="1"/>
    <col min="10512" max="10512" width="14.5703125" customWidth="1"/>
    <col min="10753" max="10753" width="3" customWidth="1"/>
    <col min="10754" max="10754" width="74.28515625" customWidth="1"/>
    <col min="10755" max="10755" width="21" customWidth="1"/>
    <col min="10756" max="10756" width="12.7109375" customWidth="1"/>
    <col min="10757" max="10757" width="13.42578125" customWidth="1"/>
    <col min="10758" max="10758" width="14.5703125" customWidth="1"/>
    <col min="10759" max="10760" width="14.7109375" customWidth="1"/>
    <col min="10761" max="10762" width="12.28515625" customWidth="1"/>
    <col min="10763" max="10763" width="13.7109375" customWidth="1"/>
    <col min="10764" max="10767" width="12.28515625" customWidth="1"/>
    <col min="10768" max="10768" width="14.5703125" customWidth="1"/>
    <col min="11009" max="11009" width="3" customWidth="1"/>
    <col min="11010" max="11010" width="74.28515625" customWidth="1"/>
    <col min="11011" max="11011" width="21" customWidth="1"/>
    <col min="11012" max="11012" width="12.7109375" customWidth="1"/>
    <col min="11013" max="11013" width="13.42578125" customWidth="1"/>
    <col min="11014" max="11014" width="14.5703125" customWidth="1"/>
    <col min="11015" max="11016" width="14.7109375" customWidth="1"/>
    <col min="11017" max="11018" width="12.28515625" customWidth="1"/>
    <col min="11019" max="11019" width="13.7109375" customWidth="1"/>
    <col min="11020" max="11023" width="12.28515625" customWidth="1"/>
    <col min="11024" max="11024" width="14.5703125" customWidth="1"/>
    <col min="11265" max="11265" width="3" customWidth="1"/>
    <col min="11266" max="11266" width="74.28515625" customWidth="1"/>
    <col min="11267" max="11267" width="21" customWidth="1"/>
    <col min="11268" max="11268" width="12.7109375" customWidth="1"/>
    <col min="11269" max="11269" width="13.42578125" customWidth="1"/>
    <col min="11270" max="11270" width="14.5703125" customWidth="1"/>
    <col min="11271" max="11272" width="14.7109375" customWidth="1"/>
    <col min="11273" max="11274" width="12.28515625" customWidth="1"/>
    <col min="11275" max="11275" width="13.7109375" customWidth="1"/>
    <col min="11276" max="11279" width="12.28515625" customWidth="1"/>
    <col min="11280" max="11280" width="14.5703125" customWidth="1"/>
    <col min="11521" max="11521" width="3" customWidth="1"/>
    <col min="11522" max="11522" width="74.28515625" customWidth="1"/>
    <col min="11523" max="11523" width="21" customWidth="1"/>
    <col min="11524" max="11524" width="12.7109375" customWidth="1"/>
    <col min="11525" max="11525" width="13.42578125" customWidth="1"/>
    <col min="11526" max="11526" width="14.5703125" customWidth="1"/>
    <col min="11527" max="11528" width="14.7109375" customWidth="1"/>
    <col min="11529" max="11530" width="12.28515625" customWidth="1"/>
    <col min="11531" max="11531" width="13.7109375" customWidth="1"/>
    <col min="11532" max="11535" width="12.28515625" customWidth="1"/>
    <col min="11536" max="11536" width="14.5703125" customWidth="1"/>
    <col min="11777" max="11777" width="3" customWidth="1"/>
    <col min="11778" max="11778" width="74.28515625" customWidth="1"/>
    <col min="11779" max="11779" width="21" customWidth="1"/>
    <col min="11780" max="11780" width="12.7109375" customWidth="1"/>
    <col min="11781" max="11781" width="13.42578125" customWidth="1"/>
    <col min="11782" max="11782" width="14.5703125" customWidth="1"/>
    <col min="11783" max="11784" width="14.7109375" customWidth="1"/>
    <col min="11785" max="11786" width="12.28515625" customWidth="1"/>
    <col min="11787" max="11787" width="13.7109375" customWidth="1"/>
    <col min="11788" max="11791" width="12.28515625" customWidth="1"/>
    <col min="11792" max="11792" width="14.5703125" customWidth="1"/>
    <col min="12033" max="12033" width="3" customWidth="1"/>
    <col min="12034" max="12034" width="74.28515625" customWidth="1"/>
    <col min="12035" max="12035" width="21" customWidth="1"/>
    <col min="12036" max="12036" width="12.7109375" customWidth="1"/>
    <col min="12037" max="12037" width="13.42578125" customWidth="1"/>
    <col min="12038" max="12038" width="14.5703125" customWidth="1"/>
    <col min="12039" max="12040" width="14.7109375" customWidth="1"/>
    <col min="12041" max="12042" width="12.28515625" customWidth="1"/>
    <col min="12043" max="12043" width="13.7109375" customWidth="1"/>
    <col min="12044" max="12047" width="12.28515625" customWidth="1"/>
    <col min="12048" max="12048" width="14.5703125" customWidth="1"/>
    <col min="12289" max="12289" width="3" customWidth="1"/>
    <col min="12290" max="12290" width="74.28515625" customWidth="1"/>
    <col min="12291" max="12291" width="21" customWidth="1"/>
    <col min="12292" max="12292" width="12.7109375" customWidth="1"/>
    <col min="12293" max="12293" width="13.42578125" customWidth="1"/>
    <col min="12294" max="12294" width="14.5703125" customWidth="1"/>
    <col min="12295" max="12296" width="14.7109375" customWidth="1"/>
    <col min="12297" max="12298" width="12.28515625" customWidth="1"/>
    <col min="12299" max="12299" width="13.7109375" customWidth="1"/>
    <col min="12300" max="12303" width="12.28515625" customWidth="1"/>
    <col min="12304" max="12304" width="14.5703125" customWidth="1"/>
    <col min="12545" max="12545" width="3" customWidth="1"/>
    <col min="12546" max="12546" width="74.28515625" customWidth="1"/>
    <col min="12547" max="12547" width="21" customWidth="1"/>
    <col min="12548" max="12548" width="12.7109375" customWidth="1"/>
    <col min="12549" max="12549" width="13.42578125" customWidth="1"/>
    <col min="12550" max="12550" width="14.5703125" customWidth="1"/>
    <col min="12551" max="12552" width="14.7109375" customWidth="1"/>
    <col min="12553" max="12554" width="12.28515625" customWidth="1"/>
    <col min="12555" max="12555" width="13.7109375" customWidth="1"/>
    <col min="12556" max="12559" width="12.28515625" customWidth="1"/>
    <col min="12560" max="12560" width="14.5703125" customWidth="1"/>
    <col min="12801" max="12801" width="3" customWidth="1"/>
    <col min="12802" max="12802" width="74.28515625" customWidth="1"/>
    <col min="12803" max="12803" width="21" customWidth="1"/>
    <col min="12804" max="12804" width="12.7109375" customWidth="1"/>
    <col min="12805" max="12805" width="13.42578125" customWidth="1"/>
    <col min="12806" max="12806" width="14.5703125" customWidth="1"/>
    <col min="12807" max="12808" width="14.7109375" customWidth="1"/>
    <col min="12809" max="12810" width="12.28515625" customWidth="1"/>
    <col min="12811" max="12811" width="13.7109375" customWidth="1"/>
    <col min="12812" max="12815" width="12.28515625" customWidth="1"/>
    <col min="12816" max="12816" width="14.5703125" customWidth="1"/>
    <col min="13057" max="13057" width="3" customWidth="1"/>
    <col min="13058" max="13058" width="74.28515625" customWidth="1"/>
    <col min="13059" max="13059" width="21" customWidth="1"/>
    <col min="13060" max="13060" width="12.7109375" customWidth="1"/>
    <col min="13061" max="13061" width="13.42578125" customWidth="1"/>
    <col min="13062" max="13062" width="14.5703125" customWidth="1"/>
    <col min="13063" max="13064" width="14.7109375" customWidth="1"/>
    <col min="13065" max="13066" width="12.28515625" customWidth="1"/>
    <col min="13067" max="13067" width="13.7109375" customWidth="1"/>
    <col min="13068" max="13071" width="12.28515625" customWidth="1"/>
    <col min="13072" max="13072" width="14.5703125" customWidth="1"/>
    <col min="13313" max="13313" width="3" customWidth="1"/>
    <col min="13314" max="13314" width="74.28515625" customWidth="1"/>
    <col min="13315" max="13315" width="21" customWidth="1"/>
    <col min="13316" max="13316" width="12.7109375" customWidth="1"/>
    <col min="13317" max="13317" width="13.42578125" customWidth="1"/>
    <col min="13318" max="13318" width="14.5703125" customWidth="1"/>
    <col min="13319" max="13320" width="14.7109375" customWidth="1"/>
    <col min="13321" max="13322" width="12.28515625" customWidth="1"/>
    <col min="13323" max="13323" width="13.7109375" customWidth="1"/>
    <col min="13324" max="13327" width="12.28515625" customWidth="1"/>
    <col min="13328" max="13328" width="14.5703125" customWidth="1"/>
    <col min="13569" max="13569" width="3" customWidth="1"/>
    <col min="13570" max="13570" width="74.28515625" customWidth="1"/>
    <col min="13571" max="13571" width="21" customWidth="1"/>
    <col min="13572" max="13572" width="12.7109375" customWidth="1"/>
    <col min="13573" max="13573" width="13.42578125" customWidth="1"/>
    <col min="13574" max="13574" width="14.5703125" customWidth="1"/>
    <col min="13575" max="13576" width="14.7109375" customWidth="1"/>
    <col min="13577" max="13578" width="12.28515625" customWidth="1"/>
    <col min="13579" max="13579" width="13.7109375" customWidth="1"/>
    <col min="13580" max="13583" width="12.28515625" customWidth="1"/>
    <col min="13584" max="13584" width="14.5703125" customWidth="1"/>
    <col min="13825" max="13825" width="3" customWidth="1"/>
    <col min="13826" max="13826" width="74.28515625" customWidth="1"/>
    <col min="13827" max="13827" width="21" customWidth="1"/>
    <col min="13828" max="13828" width="12.7109375" customWidth="1"/>
    <col min="13829" max="13829" width="13.42578125" customWidth="1"/>
    <col min="13830" max="13830" width="14.5703125" customWidth="1"/>
    <col min="13831" max="13832" width="14.7109375" customWidth="1"/>
    <col min="13833" max="13834" width="12.28515625" customWidth="1"/>
    <col min="13835" max="13835" width="13.7109375" customWidth="1"/>
    <col min="13836" max="13839" width="12.28515625" customWidth="1"/>
    <col min="13840" max="13840" width="14.5703125" customWidth="1"/>
    <col min="14081" max="14081" width="3" customWidth="1"/>
    <col min="14082" max="14082" width="74.28515625" customWidth="1"/>
    <col min="14083" max="14083" width="21" customWidth="1"/>
    <col min="14084" max="14084" width="12.7109375" customWidth="1"/>
    <col min="14085" max="14085" width="13.42578125" customWidth="1"/>
    <col min="14086" max="14086" width="14.5703125" customWidth="1"/>
    <col min="14087" max="14088" width="14.7109375" customWidth="1"/>
    <col min="14089" max="14090" width="12.28515625" customWidth="1"/>
    <col min="14091" max="14091" width="13.7109375" customWidth="1"/>
    <col min="14092" max="14095" width="12.28515625" customWidth="1"/>
    <col min="14096" max="14096" width="14.5703125" customWidth="1"/>
    <col min="14337" max="14337" width="3" customWidth="1"/>
    <col min="14338" max="14338" width="74.28515625" customWidth="1"/>
    <col min="14339" max="14339" width="21" customWidth="1"/>
    <col min="14340" max="14340" width="12.7109375" customWidth="1"/>
    <col min="14341" max="14341" width="13.42578125" customWidth="1"/>
    <col min="14342" max="14342" width="14.5703125" customWidth="1"/>
    <col min="14343" max="14344" width="14.7109375" customWidth="1"/>
    <col min="14345" max="14346" width="12.28515625" customWidth="1"/>
    <col min="14347" max="14347" width="13.7109375" customWidth="1"/>
    <col min="14348" max="14351" width="12.28515625" customWidth="1"/>
    <col min="14352" max="14352" width="14.5703125" customWidth="1"/>
    <col min="14593" max="14593" width="3" customWidth="1"/>
    <col min="14594" max="14594" width="74.28515625" customWidth="1"/>
    <col min="14595" max="14595" width="21" customWidth="1"/>
    <col min="14596" max="14596" width="12.7109375" customWidth="1"/>
    <col min="14597" max="14597" width="13.42578125" customWidth="1"/>
    <col min="14598" max="14598" width="14.5703125" customWidth="1"/>
    <col min="14599" max="14600" width="14.7109375" customWidth="1"/>
    <col min="14601" max="14602" width="12.28515625" customWidth="1"/>
    <col min="14603" max="14603" width="13.7109375" customWidth="1"/>
    <col min="14604" max="14607" width="12.28515625" customWidth="1"/>
    <col min="14608" max="14608" width="14.5703125" customWidth="1"/>
    <col min="14849" max="14849" width="3" customWidth="1"/>
    <col min="14850" max="14850" width="74.28515625" customWidth="1"/>
    <col min="14851" max="14851" width="21" customWidth="1"/>
    <col min="14852" max="14852" width="12.7109375" customWidth="1"/>
    <col min="14853" max="14853" width="13.42578125" customWidth="1"/>
    <col min="14854" max="14854" width="14.5703125" customWidth="1"/>
    <col min="14855" max="14856" width="14.7109375" customWidth="1"/>
    <col min="14857" max="14858" width="12.28515625" customWidth="1"/>
    <col min="14859" max="14859" width="13.7109375" customWidth="1"/>
    <col min="14860" max="14863" width="12.28515625" customWidth="1"/>
    <col min="14864" max="14864" width="14.5703125" customWidth="1"/>
    <col min="15105" max="15105" width="3" customWidth="1"/>
    <col min="15106" max="15106" width="74.28515625" customWidth="1"/>
    <col min="15107" max="15107" width="21" customWidth="1"/>
    <col min="15108" max="15108" width="12.7109375" customWidth="1"/>
    <col min="15109" max="15109" width="13.42578125" customWidth="1"/>
    <col min="15110" max="15110" width="14.5703125" customWidth="1"/>
    <col min="15111" max="15112" width="14.7109375" customWidth="1"/>
    <col min="15113" max="15114" width="12.28515625" customWidth="1"/>
    <col min="15115" max="15115" width="13.7109375" customWidth="1"/>
    <col min="15116" max="15119" width="12.28515625" customWidth="1"/>
    <col min="15120" max="15120" width="14.5703125" customWidth="1"/>
    <col min="15361" max="15361" width="3" customWidth="1"/>
    <col min="15362" max="15362" width="74.28515625" customWidth="1"/>
    <col min="15363" max="15363" width="21" customWidth="1"/>
    <col min="15364" max="15364" width="12.7109375" customWidth="1"/>
    <col min="15365" max="15365" width="13.42578125" customWidth="1"/>
    <col min="15366" max="15366" width="14.5703125" customWidth="1"/>
    <col min="15367" max="15368" width="14.7109375" customWidth="1"/>
    <col min="15369" max="15370" width="12.28515625" customWidth="1"/>
    <col min="15371" max="15371" width="13.7109375" customWidth="1"/>
    <col min="15372" max="15375" width="12.28515625" customWidth="1"/>
    <col min="15376" max="15376" width="14.5703125" customWidth="1"/>
    <col min="15617" max="15617" width="3" customWidth="1"/>
    <col min="15618" max="15618" width="74.28515625" customWidth="1"/>
    <col min="15619" max="15619" width="21" customWidth="1"/>
    <col min="15620" max="15620" width="12.7109375" customWidth="1"/>
    <col min="15621" max="15621" width="13.42578125" customWidth="1"/>
    <col min="15622" max="15622" width="14.5703125" customWidth="1"/>
    <col min="15623" max="15624" width="14.7109375" customWidth="1"/>
    <col min="15625" max="15626" width="12.28515625" customWidth="1"/>
    <col min="15627" max="15627" width="13.7109375" customWidth="1"/>
    <col min="15628" max="15631" width="12.28515625" customWidth="1"/>
    <col min="15632" max="15632" width="14.5703125" customWidth="1"/>
    <col min="15873" max="15873" width="3" customWidth="1"/>
    <col min="15874" max="15874" width="74.28515625" customWidth="1"/>
    <col min="15875" max="15875" width="21" customWidth="1"/>
    <col min="15876" max="15876" width="12.7109375" customWidth="1"/>
    <col min="15877" max="15877" width="13.42578125" customWidth="1"/>
    <col min="15878" max="15878" width="14.5703125" customWidth="1"/>
    <col min="15879" max="15880" width="14.7109375" customWidth="1"/>
    <col min="15881" max="15882" width="12.28515625" customWidth="1"/>
    <col min="15883" max="15883" width="13.7109375" customWidth="1"/>
    <col min="15884" max="15887" width="12.28515625" customWidth="1"/>
    <col min="15888" max="15888" width="14.5703125" customWidth="1"/>
    <col min="16129" max="16129" width="3" customWidth="1"/>
    <col min="16130" max="16130" width="74.28515625" customWidth="1"/>
    <col min="16131" max="16131" width="21" customWidth="1"/>
    <col min="16132" max="16132" width="12.7109375" customWidth="1"/>
    <col min="16133" max="16133" width="13.42578125" customWidth="1"/>
    <col min="16134" max="16134" width="14.5703125" customWidth="1"/>
    <col min="16135" max="16136" width="14.7109375" customWidth="1"/>
    <col min="16137" max="16138" width="12.28515625" customWidth="1"/>
    <col min="16139" max="16139" width="13.7109375" customWidth="1"/>
    <col min="16140" max="16143" width="12.28515625" customWidth="1"/>
    <col min="16144" max="16144" width="14.5703125" customWidth="1"/>
  </cols>
  <sheetData>
    <row r="1" spans="1:15" s="28" customFormat="1" ht="33.75" customHeight="1">
      <c r="A1" s="151" t="s">
        <v>297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15" s="28" customFormat="1" ht="15.75">
      <c r="A2" s="19"/>
      <c r="B2" s="19"/>
      <c r="C2" s="19"/>
      <c r="D2" s="19"/>
      <c r="E2" s="19"/>
      <c r="F2" s="19"/>
      <c r="G2" s="19"/>
      <c r="H2" s="19"/>
      <c r="I2" s="19"/>
      <c r="J2" s="19"/>
      <c r="K2" s="6"/>
      <c r="L2" s="6"/>
      <c r="M2" s="6"/>
    </row>
    <row r="3" spans="1:15" s="28" customFormat="1" ht="15.75" customHeight="1">
      <c r="A3" s="132" t="s">
        <v>295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</row>
    <row r="4" spans="1:15">
      <c r="B4" t="s">
        <v>42</v>
      </c>
    </row>
    <row r="5" spans="1:15" s="28" customFormat="1" ht="15.75">
      <c r="B5" s="152" t="s">
        <v>0</v>
      </c>
      <c r="C5" s="152" t="s">
        <v>1</v>
      </c>
      <c r="D5" s="146" t="s">
        <v>43</v>
      </c>
      <c r="E5" s="148"/>
      <c r="F5" s="29" t="s">
        <v>7</v>
      </c>
      <c r="G5" s="146" t="s">
        <v>44</v>
      </c>
      <c r="H5" s="147"/>
      <c r="I5" s="147"/>
      <c r="J5" s="147"/>
      <c r="K5" s="147"/>
      <c r="L5" s="147"/>
      <c r="M5" s="147"/>
      <c r="N5" s="147"/>
      <c r="O5" s="148"/>
    </row>
    <row r="6" spans="1:15" s="28" customFormat="1" ht="23.25" customHeight="1">
      <c r="B6" s="153"/>
      <c r="C6" s="153"/>
      <c r="D6" s="152">
        <v>2021</v>
      </c>
      <c r="E6" s="152">
        <v>2022</v>
      </c>
      <c r="F6" s="152">
        <v>2023</v>
      </c>
      <c r="G6" s="146">
        <v>2024</v>
      </c>
      <c r="H6" s="147"/>
      <c r="I6" s="148"/>
      <c r="J6" s="146">
        <v>2025</v>
      </c>
      <c r="K6" s="147"/>
      <c r="L6" s="148"/>
      <c r="M6" s="149">
        <v>2026</v>
      </c>
      <c r="N6" s="149"/>
      <c r="O6" s="150"/>
    </row>
    <row r="7" spans="1:15" s="28" customFormat="1" ht="37.5" customHeight="1">
      <c r="B7" s="153"/>
      <c r="C7" s="153"/>
      <c r="D7" s="153"/>
      <c r="E7" s="153"/>
      <c r="F7" s="153"/>
      <c r="G7" s="30" t="s">
        <v>14</v>
      </c>
      <c r="H7" s="30" t="s">
        <v>13</v>
      </c>
      <c r="I7" s="30" t="s">
        <v>34</v>
      </c>
      <c r="J7" s="30" t="s">
        <v>14</v>
      </c>
      <c r="K7" s="30" t="s">
        <v>13</v>
      </c>
      <c r="L7" s="30" t="s">
        <v>34</v>
      </c>
      <c r="M7" s="30" t="s">
        <v>14</v>
      </c>
      <c r="N7" s="30" t="s">
        <v>13</v>
      </c>
      <c r="O7" s="30" t="s">
        <v>34</v>
      </c>
    </row>
    <row r="8" spans="1:15" s="28" customFormat="1" ht="15.75">
      <c r="B8" s="154"/>
      <c r="C8" s="154"/>
      <c r="D8" s="155"/>
      <c r="E8" s="154"/>
      <c r="F8" s="154"/>
      <c r="G8" s="30" t="s">
        <v>45</v>
      </c>
      <c r="H8" s="30" t="s">
        <v>46</v>
      </c>
      <c r="I8" s="30" t="s">
        <v>47</v>
      </c>
      <c r="J8" s="30" t="s">
        <v>45</v>
      </c>
      <c r="K8" s="30" t="s">
        <v>46</v>
      </c>
      <c r="L8" s="30" t="s">
        <v>47</v>
      </c>
      <c r="M8" s="30" t="s">
        <v>45</v>
      </c>
      <c r="N8" s="30" t="s">
        <v>46</v>
      </c>
      <c r="O8" s="30" t="s">
        <v>47</v>
      </c>
    </row>
    <row r="9" spans="1:15" s="28" customFormat="1" ht="15.75">
      <c r="B9" s="31" t="s">
        <v>48</v>
      </c>
      <c r="C9" s="32"/>
      <c r="D9" s="33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0" spans="1:15" s="35" customFormat="1" ht="47.25">
      <c r="B10" s="31" t="s">
        <v>49</v>
      </c>
      <c r="C10" s="20" t="s">
        <v>50</v>
      </c>
      <c r="D10" s="36">
        <f>D14+D28+D102+D107</f>
        <v>78209.916100000002</v>
      </c>
      <c r="E10" s="36">
        <f>E14+E28+E102+E107</f>
        <v>76482.509999999995</v>
      </c>
      <c r="F10" s="36">
        <f>F14+F28+F102+F107</f>
        <v>66519.793623603997</v>
      </c>
      <c r="G10" s="36">
        <f>$F$10*G12*104.6/10000</f>
        <v>68744.747680726301</v>
      </c>
      <c r="H10" s="36">
        <f>$F$10*H12*104.7/10000</f>
        <v>71387.379522011222</v>
      </c>
      <c r="I10" s="36">
        <f>$F$10*I12*104.7/10000</f>
        <v>71596.318193782965</v>
      </c>
      <c r="J10" s="36">
        <f>G10*J12*103.7/10000</f>
        <v>73070.510928536009</v>
      </c>
      <c r="K10" s="36">
        <f>H10*K12*103.8/10000</f>
        <v>76249.002842219226</v>
      </c>
      <c r="L10" s="36">
        <f>I10*L12*103.8/10000</f>
        <v>76546.487633701108</v>
      </c>
      <c r="M10" s="36">
        <f>J10*M12*103.6/10000</f>
        <v>77744.977653656315</v>
      </c>
      <c r="N10" s="36">
        <f>K10*N12*103.7/10000</f>
        <v>81442.322425802777</v>
      </c>
      <c r="O10" s="36">
        <f>L10*O12*103.7/10000</f>
        <v>81760.068906432483</v>
      </c>
    </row>
    <row r="11" spans="1:15" s="28" customFormat="1" ht="47.25">
      <c r="B11" s="37" t="s">
        <v>51</v>
      </c>
      <c r="C11" s="32" t="s">
        <v>50</v>
      </c>
      <c r="D11" s="38">
        <f>D10</f>
        <v>78209.916100000002</v>
      </c>
      <c r="E11" s="38">
        <f>E10</f>
        <v>76482.509999999995</v>
      </c>
      <c r="F11" s="38">
        <f>F10</f>
        <v>66519.793623603997</v>
      </c>
      <c r="G11" s="38">
        <f>F11*G12*104.6/10000</f>
        <v>68744.747680726301</v>
      </c>
      <c r="H11" s="38">
        <f>F11*H12*104.7/10000</f>
        <v>71387.379522011222</v>
      </c>
      <c r="I11" s="38">
        <f>F11*I12*104.7/10000</f>
        <v>71596.318193782965</v>
      </c>
      <c r="J11" s="38">
        <f>G11*J12*103.7/10000</f>
        <v>73070.510928536009</v>
      </c>
      <c r="K11" s="38">
        <f>H11*K12*103.8/10000</f>
        <v>76249.002842219226</v>
      </c>
      <c r="L11" s="38">
        <f>I11*L12*104.2/10000</f>
        <v>76841.464464659497</v>
      </c>
      <c r="M11" s="38">
        <f>J11*M12*103.6/10000</f>
        <v>77744.977653656315</v>
      </c>
      <c r="N11" s="38">
        <f>K11*N12*104/10000</f>
        <v>81677.93184458524</v>
      </c>
      <c r="O11" s="38">
        <f>L11*O12*104/10000</f>
        <v>82312.576734543254</v>
      </c>
    </row>
    <row r="12" spans="1:15" s="28" customFormat="1" ht="63">
      <c r="B12" s="37" t="s">
        <v>52</v>
      </c>
      <c r="C12" s="32" t="s">
        <v>24</v>
      </c>
      <c r="D12" s="38">
        <v>159.1188499265462</v>
      </c>
      <c r="E12" s="39">
        <f>E11/D11/108.1*10000</f>
        <v>90.463756579978167</v>
      </c>
      <c r="F12" s="39">
        <v>100.2</v>
      </c>
      <c r="G12" s="39">
        <v>98.8</v>
      </c>
      <c r="H12" s="39">
        <v>102.5</v>
      </c>
      <c r="I12" s="39">
        <v>102.8</v>
      </c>
      <c r="J12" s="39">
        <v>102.5</v>
      </c>
      <c r="K12" s="39">
        <v>102.9</v>
      </c>
      <c r="L12" s="39">
        <v>103</v>
      </c>
      <c r="M12" s="39">
        <v>102.7</v>
      </c>
      <c r="N12" s="39">
        <v>103</v>
      </c>
      <c r="O12" s="39">
        <v>103</v>
      </c>
    </row>
    <row r="13" spans="1:15" s="28" customFormat="1" ht="15.75">
      <c r="B13" s="40" t="s">
        <v>53</v>
      </c>
      <c r="C13" s="32"/>
      <c r="D13" s="38"/>
      <c r="E13" s="39"/>
      <c r="F13" s="39"/>
      <c r="G13" s="41"/>
      <c r="H13" s="41"/>
      <c r="I13" s="41"/>
      <c r="J13" s="41"/>
      <c r="K13" s="41"/>
      <c r="L13" s="41"/>
      <c r="M13" s="41"/>
      <c r="N13" s="41"/>
      <c r="O13" s="41"/>
    </row>
    <row r="14" spans="1:15" s="42" customFormat="1" ht="47.25">
      <c r="B14" s="43" t="s">
        <v>54</v>
      </c>
      <c r="C14" s="44" t="s">
        <v>50</v>
      </c>
      <c r="D14" s="45">
        <f>SUM(D18,D21,D24)</f>
        <v>74209.682100000005</v>
      </c>
      <c r="E14" s="45">
        <f>SUM(E18,E21,E24)</f>
        <v>71664.7</v>
      </c>
      <c r="F14" s="45">
        <f>SUM(F18,F21,F24)</f>
        <v>61648.079357900009</v>
      </c>
      <c r="G14" s="46">
        <f t="shared" ref="G14:O14" si="0">G15</f>
        <v>60860.463496023476</v>
      </c>
      <c r="H14" s="46">
        <f t="shared" si="0"/>
        <v>65142.53908822321</v>
      </c>
      <c r="I14" s="46">
        <f t="shared" si="0"/>
        <v>65396.282582860324</v>
      </c>
      <c r="J14" s="46">
        <f t="shared" si="0"/>
        <v>63816.577928952327</v>
      </c>
      <c r="K14" s="46">
        <f t="shared" si="0"/>
        <v>68707.138827130795</v>
      </c>
      <c r="L14" s="46">
        <f t="shared" si="0"/>
        <v>69512.651590038469</v>
      </c>
      <c r="M14" s="46">
        <f t="shared" si="0"/>
        <v>67046.717837404183</v>
      </c>
      <c r="N14" s="46">
        <f t="shared" si="0"/>
        <v>72183.720051783603</v>
      </c>
      <c r="O14" s="46">
        <f t="shared" si="0"/>
        <v>73528.397472394994</v>
      </c>
    </row>
    <row r="15" spans="1:15" s="28" customFormat="1" ht="47.25">
      <c r="B15" s="47" t="s">
        <v>55</v>
      </c>
      <c r="C15" s="32" t="s">
        <v>50</v>
      </c>
      <c r="D15" s="38">
        <f>D14</f>
        <v>74209.682100000005</v>
      </c>
      <c r="E15" s="38">
        <f>E14</f>
        <v>71664.7</v>
      </c>
      <c r="F15" s="38">
        <f>F14</f>
        <v>61648.079357900009</v>
      </c>
      <c r="G15" s="48">
        <f>$F$15*G16*G17/10000</f>
        <v>60860.463496023476</v>
      </c>
      <c r="H15" s="48">
        <f>$F$15*H16*H17/10000</f>
        <v>65142.53908822321</v>
      </c>
      <c r="I15" s="48">
        <f>$F$15*I16*I17/10000</f>
        <v>65396.282582860324</v>
      </c>
      <c r="J15" s="48">
        <f t="shared" ref="J15:O15" si="1">G15*J16*J17/10000</f>
        <v>63816.577928952327</v>
      </c>
      <c r="K15" s="48">
        <f t="shared" si="1"/>
        <v>68707.138827130795</v>
      </c>
      <c r="L15" s="48">
        <f t="shared" si="1"/>
        <v>69512.651590038469</v>
      </c>
      <c r="M15" s="48">
        <f t="shared" si="1"/>
        <v>67046.717837404183</v>
      </c>
      <c r="N15" s="48">
        <f t="shared" si="1"/>
        <v>72183.720051783603</v>
      </c>
      <c r="O15" s="48">
        <f t="shared" si="1"/>
        <v>73528.397472394994</v>
      </c>
    </row>
    <row r="16" spans="1:15" s="28" customFormat="1" ht="31.5">
      <c r="B16" s="47" t="s">
        <v>56</v>
      </c>
      <c r="C16" s="32" t="s">
        <v>57</v>
      </c>
      <c r="D16" s="39">
        <v>102.7</v>
      </c>
      <c r="E16" s="39">
        <v>112.8</v>
      </c>
      <c r="F16" s="39">
        <v>89.9</v>
      </c>
      <c r="G16" s="49">
        <v>103.7</v>
      </c>
      <c r="H16" s="49">
        <v>103.8</v>
      </c>
      <c r="I16" s="41">
        <v>104</v>
      </c>
      <c r="J16" s="41">
        <v>102.6</v>
      </c>
      <c r="K16" s="49">
        <v>103</v>
      </c>
      <c r="L16" s="49">
        <v>103.5</v>
      </c>
      <c r="M16" s="49">
        <v>102.8</v>
      </c>
      <c r="N16" s="49">
        <v>103</v>
      </c>
      <c r="O16" s="49">
        <v>103.5</v>
      </c>
    </row>
    <row r="17" spans="2:17" s="28" customFormat="1" ht="63">
      <c r="B17" s="47" t="s">
        <v>58</v>
      </c>
      <c r="C17" s="32" t="s">
        <v>24</v>
      </c>
      <c r="D17" s="39">
        <v>163.9</v>
      </c>
      <c r="E17" s="39">
        <f>E15/D15*100</f>
        <v>96.570552483204878</v>
      </c>
      <c r="F17" s="50">
        <v>98.1</v>
      </c>
      <c r="G17" s="41">
        <v>95.2</v>
      </c>
      <c r="H17" s="41">
        <v>101.8</v>
      </c>
      <c r="I17" s="41">
        <v>102</v>
      </c>
      <c r="J17" s="41">
        <v>102.2</v>
      </c>
      <c r="K17" s="41">
        <v>102.4</v>
      </c>
      <c r="L17" s="41">
        <v>102.7</v>
      </c>
      <c r="M17" s="41">
        <v>102.2</v>
      </c>
      <c r="N17" s="41">
        <v>102</v>
      </c>
      <c r="O17" s="41">
        <v>102.2</v>
      </c>
    </row>
    <row r="18" spans="2:17" s="51" customFormat="1" ht="47.25">
      <c r="B18" s="52" t="s">
        <v>59</v>
      </c>
      <c r="C18" s="53" t="s">
        <v>50</v>
      </c>
      <c r="D18" s="54">
        <v>72231.492100000003</v>
      </c>
      <c r="E18" s="55">
        <v>68711.8</v>
      </c>
      <c r="F18" s="55">
        <f>E18*F19*F20/10000</f>
        <v>58946.822543000009</v>
      </c>
      <c r="G18" s="56">
        <f>$F$18*G19*G20/10000</f>
        <v>59850.772066696918</v>
      </c>
      <c r="H18" s="56">
        <f>$F$18*H19*H20/10000</f>
        <v>56536.604862861823</v>
      </c>
      <c r="I18" s="56">
        <f>$F$18*I19*I20/10000</f>
        <v>62101.656485501364</v>
      </c>
      <c r="J18" s="56">
        <f t="shared" ref="J18:O18" si="2">G18*J19*J20/10000</f>
        <v>62206.498455242108</v>
      </c>
      <c r="K18" s="56">
        <f t="shared" si="2"/>
        <v>59455.589771931373</v>
      </c>
      <c r="L18" s="56">
        <f t="shared" si="2"/>
        <v>65689.26918066878</v>
      </c>
      <c r="M18" s="56">
        <f t="shared" si="2"/>
        <v>65163.795391804328</v>
      </c>
      <c r="N18" s="56">
        <f t="shared" si="2"/>
        <v>62280.324841995833</v>
      </c>
      <c r="O18" s="56">
        <f t="shared" si="2"/>
        <v>69214.155364903461</v>
      </c>
    </row>
    <row r="19" spans="2:17" s="28" customFormat="1" ht="31.5">
      <c r="B19" s="47" t="s">
        <v>60</v>
      </c>
      <c r="C19" s="32" t="s">
        <v>57</v>
      </c>
      <c r="D19" s="39">
        <v>102.4</v>
      </c>
      <c r="E19" s="39">
        <v>114.8</v>
      </c>
      <c r="F19" s="39">
        <v>88.9</v>
      </c>
      <c r="G19" s="49">
        <v>103.5</v>
      </c>
      <c r="H19" s="49">
        <v>103.8</v>
      </c>
      <c r="I19" s="57">
        <v>104</v>
      </c>
      <c r="J19" s="57">
        <v>102.4</v>
      </c>
      <c r="K19" s="49">
        <v>103</v>
      </c>
      <c r="L19" s="49">
        <v>103.5</v>
      </c>
      <c r="M19" s="57">
        <v>102.7</v>
      </c>
      <c r="N19" s="57">
        <v>103</v>
      </c>
      <c r="O19" s="49">
        <v>103.3</v>
      </c>
      <c r="P19" s="58"/>
      <c r="Q19" s="58"/>
    </row>
    <row r="20" spans="2:17" s="28" customFormat="1" ht="63">
      <c r="B20" s="47" t="s">
        <v>61</v>
      </c>
      <c r="C20" s="32" t="s">
        <v>24</v>
      </c>
      <c r="D20" s="39">
        <v>172.2</v>
      </c>
      <c r="E20" s="39">
        <f>E18/D18/E19*10000</f>
        <v>82.863419514709832</v>
      </c>
      <c r="F20" s="39">
        <v>96.5</v>
      </c>
      <c r="G20" s="39">
        <v>98.1</v>
      </c>
      <c r="H20" s="41">
        <v>92.4</v>
      </c>
      <c r="I20" s="41">
        <v>101.3</v>
      </c>
      <c r="J20" s="41">
        <v>101.5</v>
      </c>
      <c r="K20" s="41">
        <v>102.1</v>
      </c>
      <c r="L20" s="41">
        <v>102.2</v>
      </c>
      <c r="M20" s="41">
        <v>102</v>
      </c>
      <c r="N20" s="41">
        <v>101.7</v>
      </c>
      <c r="O20" s="41">
        <v>102</v>
      </c>
    </row>
    <row r="21" spans="2:17" s="28" customFormat="1" ht="47.25">
      <c r="B21" s="47" t="s">
        <v>62</v>
      </c>
      <c r="C21" s="32" t="s">
        <v>50</v>
      </c>
      <c r="D21" s="38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</row>
    <row r="22" spans="2:17" s="28" customFormat="1" ht="31.5">
      <c r="B22" s="47" t="s">
        <v>63</v>
      </c>
      <c r="C22" s="32" t="s">
        <v>57</v>
      </c>
      <c r="D22" s="38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</row>
    <row r="23" spans="2:17" s="28" customFormat="1" ht="63">
      <c r="B23" s="47" t="s">
        <v>64</v>
      </c>
      <c r="C23" s="32" t="s">
        <v>24</v>
      </c>
      <c r="D23" s="38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2:17" s="51" customFormat="1" ht="47.25">
      <c r="B24" s="52" t="s">
        <v>65</v>
      </c>
      <c r="C24" s="53" t="s">
        <v>50</v>
      </c>
      <c r="D24" s="59">
        <v>1978.19</v>
      </c>
      <c r="E24" s="39">
        <v>2952.9</v>
      </c>
      <c r="F24" s="55">
        <f>E24*F25*F26/10000</f>
        <v>2701.2568148999999</v>
      </c>
      <c r="G24" s="55">
        <f>$F$24*G25*G26/10000</f>
        <v>2813.1266646322683</v>
      </c>
      <c r="H24" s="55">
        <f>$F$24*H25*H26/10000</f>
        <v>2868.3943790651224</v>
      </c>
      <c r="I24" s="55">
        <f>$F$24*I25*I26/10000</f>
        <v>2879.5397646833999</v>
      </c>
      <c r="J24" s="55">
        <f t="shared" ref="J24:O24" si="3">G24*J25*J26/10000</f>
        <v>2912.4469146537749</v>
      </c>
      <c r="K24" s="55">
        <f t="shared" si="3"/>
        <v>3019.4440270666914</v>
      </c>
      <c r="L24" s="55">
        <f t="shared" si="3"/>
        <v>3042.9478872496534</v>
      </c>
      <c r="M24" s="55">
        <f t="shared" si="3"/>
        <v>3024.1596409591498</v>
      </c>
      <c r="N24" s="55">
        <f t="shared" si="3"/>
        <v>3178.4479495320234</v>
      </c>
      <c r="O24" s="55">
        <f t="shared" si="3"/>
        <v>3218.7755020707132</v>
      </c>
    </row>
    <row r="25" spans="2:17" s="28" customFormat="1" ht="31.5">
      <c r="B25" s="47" t="s">
        <v>66</v>
      </c>
      <c r="C25" s="32" t="s">
        <v>57</v>
      </c>
      <c r="D25" s="38">
        <v>102.2</v>
      </c>
      <c r="E25" s="39">
        <v>114.8</v>
      </c>
      <c r="F25" s="39">
        <v>88.9</v>
      </c>
      <c r="G25" s="39">
        <v>102.3</v>
      </c>
      <c r="H25" s="39">
        <v>103.8</v>
      </c>
      <c r="I25" s="39">
        <v>104</v>
      </c>
      <c r="J25" s="39">
        <v>101.8</v>
      </c>
      <c r="K25" s="39">
        <v>103</v>
      </c>
      <c r="L25" s="39">
        <v>103.4</v>
      </c>
      <c r="M25" s="39">
        <v>102.1</v>
      </c>
      <c r="N25" s="39">
        <v>103</v>
      </c>
      <c r="O25" s="39">
        <v>103.4</v>
      </c>
    </row>
    <row r="26" spans="2:17" s="28" customFormat="1" ht="63">
      <c r="B26" s="47" t="s">
        <v>67</v>
      </c>
      <c r="C26" s="32" t="s">
        <v>24</v>
      </c>
      <c r="D26" s="38">
        <v>62.5</v>
      </c>
      <c r="E26" s="39">
        <f>E24/D24/E25*10000</f>
        <v>130.02858894009205</v>
      </c>
      <c r="F26" s="39">
        <v>102.9</v>
      </c>
      <c r="G26" s="39">
        <v>101.8</v>
      </c>
      <c r="H26" s="39">
        <v>102.3</v>
      </c>
      <c r="I26" s="39">
        <v>102.5</v>
      </c>
      <c r="J26" s="39">
        <v>101.7</v>
      </c>
      <c r="K26" s="39">
        <v>102.2</v>
      </c>
      <c r="L26" s="39">
        <v>102.2</v>
      </c>
      <c r="M26" s="39">
        <v>101.7</v>
      </c>
      <c r="N26" s="39">
        <v>102.2</v>
      </c>
      <c r="O26" s="39">
        <v>102.3</v>
      </c>
    </row>
    <row r="27" spans="2:17" s="28" customFormat="1" ht="15.75">
      <c r="B27" s="40" t="s">
        <v>68</v>
      </c>
      <c r="C27" s="33"/>
      <c r="D27" s="38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2:17" s="42" customFormat="1" ht="47.25">
      <c r="B28" s="43" t="s">
        <v>69</v>
      </c>
      <c r="C28" s="60" t="s">
        <v>50</v>
      </c>
      <c r="D28" s="46">
        <f t="shared" ref="D28:O28" si="4">D29+D98</f>
        <v>3517.8</v>
      </c>
      <c r="E28" s="46">
        <f t="shared" si="4"/>
        <v>4372.1080000000002</v>
      </c>
      <c r="F28" s="46">
        <f t="shared" si="4"/>
        <v>4389.543966704</v>
      </c>
      <c r="G28" s="46">
        <f t="shared" si="4"/>
        <v>4654.3388169514519</v>
      </c>
      <c r="H28" s="46">
        <f t="shared" si="4"/>
        <v>4700.4334181458107</v>
      </c>
      <c r="I28" s="46">
        <f t="shared" si="4"/>
        <v>4714.1595221296939</v>
      </c>
      <c r="J28" s="46">
        <f t="shared" si="4"/>
        <v>5004.9036166442356</v>
      </c>
      <c r="K28" s="46">
        <f t="shared" si="4"/>
        <v>5074.0990731547299</v>
      </c>
      <c r="L28" s="46">
        <f t="shared" si="4"/>
        <v>5098.7170851474239</v>
      </c>
      <c r="M28" s="46">
        <f t="shared" si="4"/>
        <v>5376.8680534332352</v>
      </c>
      <c r="N28" s="46">
        <f t="shared" si="4"/>
        <v>5477.5762091547749</v>
      </c>
      <c r="O28" s="46">
        <f t="shared" si="4"/>
        <v>5525.3624346813049</v>
      </c>
    </row>
    <row r="29" spans="2:17" s="28" customFormat="1" ht="47.25">
      <c r="B29" s="47" t="s">
        <v>70</v>
      </c>
      <c r="C29" s="33" t="s">
        <v>50</v>
      </c>
      <c r="D29" s="61">
        <v>3517.8</v>
      </c>
      <c r="E29" s="61">
        <v>4372.1080000000002</v>
      </c>
      <c r="F29" s="61">
        <f>E29*F30*F31/10000</f>
        <v>4389.543966704</v>
      </c>
      <c r="G29" s="61">
        <f>$F$29*G30*G31/10000</f>
        <v>4654.3388169514519</v>
      </c>
      <c r="H29" s="61">
        <f>$F$29*H30*H31/10000</f>
        <v>4700.4334181458107</v>
      </c>
      <c r="I29" s="61">
        <f>$F$29*I30*I31/10000</f>
        <v>4714.1595221296939</v>
      </c>
      <c r="J29" s="61">
        <f t="shared" ref="J29:O29" si="5">G29*J30*J31/10000</f>
        <v>5004.9036166442356</v>
      </c>
      <c r="K29" s="61">
        <f t="shared" si="5"/>
        <v>5074.0990731547299</v>
      </c>
      <c r="L29" s="61">
        <f t="shared" si="5"/>
        <v>5098.7170851474239</v>
      </c>
      <c r="M29" s="61">
        <f>J29*M30*M31/10000</f>
        <v>5376.8680534332352</v>
      </c>
      <c r="N29" s="61">
        <f t="shared" si="5"/>
        <v>5477.5762091547749</v>
      </c>
      <c r="O29" s="61">
        <f t="shared" si="5"/>
        <v>5525.3624346813049</v>
      </c>
    </row>
    <row r="30" spans="2:17" s="28" customFormat="1" ht="31.5">
      <c r="B30" s="47" t="s">
        <v>71</v>
      </c>
      <c r="C30" s="33" t="s">
        <v>57</v>
      </c>
      <c r="D30" s="38">
        <v>103.8</v>
      </c>
      <c r="E30" s="39">
        <v>106.9</v>
      </c>
      <c r="F30" s="41">
        <v>100.6</v>
      </c>
      <c r="G30" s="49">
        <v>105.4</v>
      </c>
      <c r="H30" s="49">
        <v>105.5</v>
      </c>
      <c r="I30" s="41">
        <v>105.6</v>
      </c>
      <c r="J30" s="41">
        <v>104.4</v>
      </c>
      <c r="K30" s="49">
        <v>104.4</v>
      </c>
      <c r="L30" s="49">
        <v>104.5</v>
      </c>
      <c r="M30" s="49">
        <v>104</v>
      </c>
      <c r="N30" s="49">
        <v>104.1</v>
      </c>
      <c r="O30" s="49">
        <v>104.3</v>
      </c>
    </row>
    <row r="31" spans="2:17" s="28" customFormat="1" ht="63">
      <c r="B31" s="47" t="s">
        <v>72</v>
      </c>
      <c r="C31" s="33" t="s">
        <v>24</v>
      </c>
      <c r="D31" s="38">
        <v>111.1</v>
      </c>
      <c r="E31" s="39">
        <f>E29/D29/E30*10000</f>
        <v>116.26313558823996</v>
      </c>
      <c r="F31" s="39">
        <v>99.8</v>
      </c>
      <c r="G31" s="39">
        <v>100.6</v>
      </c>
      <c r="H31" s="39">
        <v>101.5</v>
      </c>
      <c r="I31" s="39">
        <v>101.7</v>
      </c>
      <c r="J31" s="39">
        <v>103</v>
      </c>
      <c r="K31" s="39">
        <v>103.4</v>
      </c>
      <c r="L31" s="39">
        <v>103.5</v>
      </c>
      <c r="M31" s="39">
        <v>103.3</v>
      </c>
      <c r="N31" s="39">
        <v>103.7</v>
      </c>
      <c r="O31" s="39">
        <v>103.9</v>
      </c>
    </row>
    <row r="32" spans="2:17" s="62" customFormat="1" ht="47.25">
      <c r="B32" s="52" t="s">
        <v>73</v>
      </c>
      <c r="C32" s="63" t="s">
        <v>50</v>
      </c>
      <c r="D32" s="64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</row>
    <row r="33" spans="2:15" s="28" customFormat="1" ht="31.5">
      <c r="B33" s="47" t="s">
        <v>74</v>
      </c>
      <c r="C33" s="33" t="s">
        <v>57</v>
      </c>
      <c r="D33" s="38"/>
      <c r="E33" s="39"/>
      <c r="F33" s="41"/>
      <c r="G33" s="49"/>
      <c r="H33" s="49"/>
      <c r="I33" s="49"/>
      <c r="J33" s="49"/>
      <c r="K33" s="49"/>
      <c r="L33" s="49"/>
      <c r="M33" s="49"/>
      <c r="N33" s="49"/>
      <c r="O33" s="49"/>
    </row>
    <row r="34" spans="2:15" s="28" customFormat="1" ht="63">
      <c r="B34" s="47" t="s">
        <v>75</v>
      </c>
      <c r="C34" s="33" t="s">
        <v>24</v>
      </c>
      <c r="D34" s="38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2:15" s="28" customFormat="1" ht="31.5">
      <c r="B35" s="47" t="s">
        <v>76</v>
      </c>
      <c r="C35" s="32" t="s">
        <v>50</v>
      </c>
      <c r="D35" s="38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2:15" s="28" customFormat="1" ht="31.5">
      <c r="B36" s="47" t="s">
        <v>77</v>
      </c>
      <c r="C36" s="32" t="s">
        <v>57</v>
      </c>
      <c r="D36" s="38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2:15" s="28" customFormat="1" ht="63">
      <c r="B37" s="47" t="s">
        <v>78</v>
      </c>
      <c r="C37" s="32" t="s">
        <v>24</v>
      </c>
      <c r="D37" s="38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2:15" s="28" customFormat="1" ht="47.25">
      <c r="B38" s="47" t="s">
        <v>79</v>
      </c>
      <c r="C38" s="32" t="s">
        <v>50</v>
      </c>
      <c r="D38" s="38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2:15" s="28" customFormat="1" ht="31.5">
      <c r="B39" s="47" t="s">
        <v>80</v>
      </c>
      <c r="C39" s="32" t="s">
        <v>57</v>
      </c>
      <c r="D39" s="38"/>
      <c r="E39" s="39"/>
      <c r="F39" s="41"/>
      <c r="G39" s="49"/>
      <c r="H39" s="49"/>
      <c r="I39" s="49"/>
      <c r="J39" s="49"/>
      <c r="K39" s="49"/>
      <c r="L39" s="41"/>
      <c r="M39" s="49"/>
      <c r="N39" s="49"/>
      <c r="O39" s="41"/>
    </row>
    <row r="40" spans="2:15" s="28" customFormat="1" ht="31.5">
      <c r="B40" s="47" t="s">
        <v>81</v>
      </c>
      <c r="C40" s="32" t="s">
        <v>57</v>
      </c>
      <c r="D40" s="38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  <row r="41" spans="2:15" s="28" customFormat="1" ht="31.5">
      <c r="B41" s="47" t="s">
        <v>82</v>
      </c>
      <c r="C41" s="32" t="s">
        <v>50</v>
      </c>
      <c r="D41" s="38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</row>
    <row r="42" spans="2:15" s="28" customFormat="1" ht="31.5">
      <c r="B42" s="47" t="s">
        <v>83</v>
      </c>
      <c r="C42" s="32" t="s">
        <v>57</v>
      </c>
      <c r="D42" s="38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</row>
    <row r="43" spans="2:15" s="28" customFormat="1" ht="63">
      <c r="B43" s="47" t="s">
        <v>84</v>
      </c>
      <c r="C43" s="32" t="s">
        <v>24</v>
      </c>
      <c r="D43" s="38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</row>
    <row r="44" spans="2:15" s="28" customFormat="1" ht="47.25">
      <c r="B44" s="47" t="s">
        <v>85</v>
      </c>
      <c r="C44" s="33" t="s">
        <v>50</v>
      </c>
      <c r="D44" s="38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</row>
    <row r="45" spans="2:15" s="28" customFormat="1" ht="31.5">
      <c r="B45" s="47" t="s">
        <v>86</v>
      </c>
      <c r="C45" s="33" t="s">
        <v>57</v>
      </c>
      <c r="D45" s="38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</row>
    <row r="46" spans="2:15" s="28" customFormat="1" ht="63">
      <c r="B46" s="47" t="s">
        <v>87</v>
      </c>
      <c r="C46" s="33" t="s">
        <v>24</v>
      </c>
      <c r="D46" s="38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</row>
    <row r="47" spans="2:15" s="28" customFormat="1" ht="63">
      <c r="B47" s="47" t="s">
        <v>88</v>
      </c>
      <c r="C47" s="33" t="s">
        <v>50</v>
      </c>
      <c r="D47" s="38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</row>
    <row r="48" spans="2:15" s="28" customFormat="1" ht="47.25">
      <c r="B48" s="47" t="s">
        <v>89</v>
      </c>
      <c r="C48" s="33" t="s">
        <v>57</v>
      </c>
      <c r="D48" s="38"/>
      <c r="E48" s="39"/>
      <c r="F48" s="41"/>
      <c r="G48" s="49"/>
      <c r="H48" s="49"/>
      <c r="I48" s="49"/>
      <c r="J48" s="49"/>
      <c r="K48" s="49"/>
      <c r="L48" s="49"/>
      <c r="M48" s="49"/>
      <c r="N48" s="49"/>
      <c r="O48" s="49"/>
    </row>
    <row r="49" spans="2:16" s="28" customFormat="1" ht="47.25">
      <c r="B49" s="47" t="s">
        <v>90</v>
      </c>
      <c r="C49" s="33" t="s">
        <v>57</v>
      </c>
      <c r="D49" s="38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</row>
    <row r="50" spans="2:16" s="28" customFormat="1" ht="47.25">
      <c r="B50" s="47" t="s">
        <v>91</v>
      </c>
      <c r="C50" s="33" t="s">
        <v>50</v>
      </c>
      <c r="D50" s="38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</row>
    <row r="51" spans="2:16" s="28" customFormat="1" ht="31.5">
      <c r="B51" s="47" t="s">
        <v>92</v>
      </c>
      <c r="C51" s="33" t="s">
        <v>57</v>
      </c>
      <c r="D51" s="38"/>
      <c r="E51" s="39"/>
      <c r="F51" s="41"/>
      <c r="G51" s="49"/>
      <c r="H51" s="49"/>
      <c r="I51" s="49"/>
      <c r="J51" s="49"/>
      <c r="K51" s="49"/>
      <c r="L51" s="49"/>
      <c r="M51" s="49"/>
      <c r="N51" s="49"/>
      <c r="O51" s="41"/>
    </row>
    <row r="52" spans="2:16" s="28" customFormat="1" ht="63">
      <c r="B52" s="47" t="s">
        <v>93</v>
      </c>
      <c r="C52" s="33" t="s">
        <v>24</v>
      </c>
      <c r="D52" s="38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</row>
    <row r="53" spans="2:16" s="28" customFormat="1" ht="47.25">
      <c r="B53" s="47" t="s">
        <v>94</v>
      </c>
      <c r="C53" s="32" t="s">
        <v>50</v>
      </c>
      <c r="D53" s="38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</row>
    <row r="54" spans="2:16" s="28" customFormat="1" ht="31.5">
      <c r="B54" s="47" t="s">
        <v>95</v>
      </c>
      <c r="C54" s="32" t="s">
        <v>57</v>
      </c>
      <c r="D54" s="38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</row>
    <row r="55" spans="2:16" s="28" customFormat="1" ht="63">
      <c r="B55" s="47" t="s">
        <v>96</v>
      </c>
      <c r="C55" s="32" t="s">
        <v>24</v>
      </c>
      <c r="D55" s="38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</row>
    <row r="56" spans="2:16" s="28" customFormat="1" ht="47.25">
      <c r="B56" s="47" t="s">
        <v>97</v>
      </c>
      <c r="C56" s="33" t="s">
        <v>50</v>
      </c>
      <c r="D56" s="61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</row>
    <row r="57" spans="2:16" s="28" customFormat="1" ht="31.5">
      <c r="B57" s="47" t="s">
        <v>98</v>
      </c>
      <c r="C57" s="33" t="s">
        <v>57</v>
      </c>
      <c r="D57" s="38"/>
      <c r="E57" s="3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67"/>
    </row>
    <row r="58" spans="2:16" s="28" customFormat="1" ht="63">
      <c r="B58" s="47" t="s">
        <v>99</v>
      </c>
      <c r="C58" s="33" t="s">
        <v>24</v>
      </c>
      <c r="D58" s="38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</row>
    <row r="59" spans="2:16" s="28" customFormat="1" ht="47.25">
      <c r="B59" s="47" t="s">
        <v>100</v>
      </c>
      <c r="C59" s="33" t="s">
        <v>50</v>
      </c>
      <c r="D59" s="38"/>
      <c r="E59" s="39"/>
      <c r="F59" s="41"/>
      <c r="G59" s="41"/>
      <c r="H59" s="41"/>
      <c r="I59" s="41"/>
      <c r="J59" s="41"/>
      <c r="K59" s="41"/>
      <c r="L59" s="41"/>
      <c r="M59" s="41"/>
      <c r="N59" s="41"/>
      <c r="O59" s="41"/>
    </row>
    <row r="60" spans="2:16" s="28" customFormat="1" ht="31.5">
      <c r="B60" s="47" t="s">
        <v>101</v>
      </c>
      <c r="C60" s="33" t="s">
        <v>57</v>
      </c>
      <c r="D60" s="38"/>
      <c r="E60" s="39"/>
      <c r="F60" s="41"/>
      <c r="G60" s="49"/>
      <c r="H60" s="49"/>
      <c r="I60" s="49"/>
      <c r="J60" s="49"/>
      <c r="K60" s="49"/>
      <c r="L60" s="49"/>
      <c r="M60" s="49"/>
      <c r="N60" s="49"/>
      <c r="O60" s="49"/>
    </row>
    <row r="61" spans="2:16" s="28" customFormat="1" ht="63">
      <c r="B61" s="47" t="s">
        <v>102</v>
      </c>
      <c r="C61" s="33" t="s">
        <v>24</v>
      </c>
      <c r="D61" s="38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</row>
    <row r="62" spans="2:16" s="51" customFormat="1" ht="47.25">
      <c r="B62" s="47" t="s">
        <v>103</v>
      </c>
      <c r="C62" s="32" t="s">
        <v>50</v>
      </c>
      <c r="D62" s="61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</row>
    <row r="63" spans="2:16" s="28" customFormat="1" ht="31.5">
      <c r="B63" s="47" t="s">
        <v>104</v>
      </c>
      <c r="C63" s="32" t="s">
        <v>57</v>
      </c>
      <c r="D63" s="38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</row>
    <row r="64" spans="2:16" s="28" customFormat="1" ht="63">
      <c r="B64" s="47" t="s">
        <v>105</v>
      </c>
      <c r="C64" s="32" t="s">
        <v>24</v>
      </c>
      <c r="D64" s="38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</row>
    <row r="65" spans="2:15" s="28" customFormat="1" ht="47.25">
      <c r="B65" s="47" t="s">
        <v>106</v>
      </c>
      <c r="C65" s="33" t="s">
        <v>50</v>
      </c>
      <c r="D65" s="38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</row>
    <row r="66" spans="2:15" s="28" customFormat="1" ht="31.5">
      <c r="B66" s="47" t="s">
        <v>107</v>
      </c>
      <c r="C66" s="33" t="s">
        <v>57</v>
      </c>
      <c r="D66" s="38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</row>
    <row r="67" spans="2:15" s="28" customFormat="1" ht="31.5">
      <c r="B67" s="47" t="s">
        <v>108</v>
      </c>
      <c r="C67" s="33" t="s">
        <v>57</v>
      </c>
      <c r="D67" s="38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</row>
    <row r="68" spans="2:15" s="28" customFormat="1" ht="47.25">
      <c r="B68" s="47" t="s">
        <v>109</v>
      </c>
      <c r="C68" s="33" t="s">
        <v>50</v>
      </c>
      <c r="D68" s="38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</row>
    <row r="69" spans="2:15" s="28" customFormat="1" ht="31.5">
      <c r="B69" s="47" t="s">
        <v>110</v>
      </c>
      <c r="C69" s="33" t="s">
        <v>57</v>
      </c>
      <c r="D69" s="38"/>
      <c r="E69" s="39"/>
      <c r="F69" s="41"/>
      <c r="G69" s="49"/>
      <c r="H69" s="49"/>
      <c r="I69" s="49"/>
      <c r="J69" s="49"/>
      <c r="K69" s="49"/>
      <c r="L69" s="49"/>
      <c r="M69" s="49"/>
      <c r="N69" s="49"/>
      <c r="O69" s="41"/>
    </row>
    <row r="70" spans="2:15" s="28" customFormat="1" ht="63">
      <c r="B70" s="47" t="s">
        <v>111</v>
      </c>
      <c r="C70" s="33" t="s">
        <v>24</v>
      </c>
      <c r="D70" s="38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</row>
    <row r="71" spans="2:15" s="28" customFormat="1" ht="47.25">
      <c r="B71" s="47" t="s">
        <v>112</v>
      </c>
      <c r="C71" s="33" t="s">
        <v>50</v>
      </c>
      <c r="D71" s="38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</row>
    <row r="72" spans="2:15" s="28" customFormat="1" ht="31.5">
      <c r="B72" s="47" t="s">
        <v>113</v>
      </c>
      <c r="C72" s="33" t="s">
        <v>57</v>
      </c>
      <c r="D72" s="38"/>
      <c r="E72" s="39"/>
      <c r="F72" s="49"/>
      <c r="G72" s="49"/>
      <c r="H72" s="49"/>
      <c r="I72" s="49"/>
      <c r="J72" s="49"/>
      <c r="K72" s="49"/>
      <c r="L72" s="49"/>
      <c r="M72" s="49"/>
      <c r="N72" s="49"/>
      <c r="O72" s="49"/>
    </row>
    <row r="73" spans="2:15" s="28" customFormat="1" ht="63">
      <c r="B73" s="47" t="s">
        <v>114</v>
      </c>
      <c r="C73" s="33" t="s">
        <v>24</v>
      </c>
      <c r="D73" s="38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</row>
    <row r="74" spans="2:15" s="28" customFormat="1" ht="47.25">
      <c r="B74" s="47" t="s">
        <v>115</v>
      </c>
      <c r="C74" s="32" t="s">
        <v>50</v>
      </c>
      <c r="D74" s="38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</row>
    <row r="75" spans="2:15" s="28" customFormat="1" ht="31.5">
      <c r="B75" s="47" t="s">
        <v>116</v>
      </c>
      <c r="C75" s="32" t="s">
        <v>57</v>
      </c>
      <c r="D75" s="38"/>
      <c r="E75" s="39"/>
      <c r="F75" s="41"/>
      <c r="G75" s="49"/>
      <c r="H75" s="49"/>
      <c r="I75" s="41"/>
      <c r="J75" s="41"/>
      <c r="K75" s="49"/>
      <c r="L75" s="41"/>
      <c r="M75" s="49"/>
      <c r="N75" s="49"/>
      <c r="O75" s="41"/>
    </row>
    <row r="76" spans="2:15" s="28" customFormat="1" ht="63">
      <c r="B76" s="47" t="s">
        <v>117</v>
      </c>
      <c r="C76" s="32" t="s">
        <v>24</v>
      </c>
      <c r="D76" s="38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</row>
    <row r="77" spans="2:15" s="28" customFormat="1" ht="47.25">
      <c r="B77" s="47" t="s">
        <v>118</v>
      </c>
      <c r="C77" s="32" t="s">
        <v>50</v>
      </c>
      <c r="D77" s="38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</row>
    <row r="78" spans="2:15" s="28" customFormat="1" ht="31.5">
      <c r="B78" s="47" t="s">
        <v>119</v>
      </c>
      <c r="C78" s="32" t="s">
        <v>57</v>
      </c>
      <c r="D78" s="38"/>
      <c r="E78" s="39"/>
      <c r="F78" s="41"/>
      <c r="G78" s="49"/>
      <c r="H78" s="49"/>
      <c r="I78" s="49"/>
      <c r="J78" s="49"/>
      <c r="K78" s="49"/>
      <c r="L78" s="49"/>
      <c r="M78" s="49"/>
      <c r="N78" s="49"/>
      <c r="O78" s="49"/>
    </row>
    <row r="79" spans="2:15" s="28" customFormat="1" ht="63">
      <c r="B79" s="47" t="s">
        <v>120</v>
      </c>
      <c r="C79" s="32" t="s">
        <v>24</v>
      </c>
      <c r="D79" s="38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</row>
    <row r="80" spans="2:15" s="28" customFormat="1" ht="47.25">
      <c r="B80" s="47" t="s">
        <v>121</v>
      </c>
      <c r="C80" s="33" t="s">
        <v>50</v>
      </c>
      <c r="D80" s="38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</row>
    <row r="81" spans="2:15" s="28" customFormat="1" ht="31.5">
      <c r="B81" s="47" t="s">
        <v>122</v>
      </c>
      <c r="C81" s="33" t="s">
        <v>57</v>
      </c>
      <c r="D81" s="38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</row>
    <row r="82" spans="2:15" s="28" customFormat="1" ht="63">
      <c r="B82" s="47" t="s">
        <v>123</v>
      </c>
      <c r="C82" s="33" t="s">
        <v>24</v>
      </c>
      <c r="D82" s="38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</row>
    <row r="83" spans="2:15" s="28" customFormat="1" ht="47.25">
      <c r="B83" s="47" t="s">
        <v>124</v>
      </c>
      <c r="C83" s="33" t="s">
        <v>50</v>
      </c>
      <c r="D83" s="38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</row>
    <row r="84" spans="2:15" s="28" customFormat="1" ht="31.5">
      <c r="B84" s="47" t="s">
        <v>125</v>
      </c>
      <c r="C84" s="33" t="s">
        <v>57</v>
      </c>
      <c r="D84" s="38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</row>
    <row r="85" spans="2:15" s="28" customFormat="1" ht="63">
      <c r="B85" s="47" t="s">
        <v>126</v>
      </c>
      <c r="C85" s="33" t="s">
        <v>24</v>
      </c>
      <c r="D85" s="38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</row>
    <row r="86" spans="2:15" s="28" customFormat="1" ht="47.25">
      <c r="B86" s="47" t="s">
        <v>127</v>
      </c>
      <c r="C86" s="32" t="s">
        <v>50</v>
      </c>
      <c r="D86" s="38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</row>
    <row r="87" spans="2:15" s="28" customFormat="1" ht="31.5">
      <c r="B87" s="47" t="s">
        <v>128</v>
      </c>
      <c r="C87" s="32" t="s">
        <v>57</v>
      </c>
      <c r="D87" s="38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</row>
    <row r="88" spans="2:15" s="28" customFormat="1" ht="63">
      <c r="B88" s="47" t="s">
        <v>129</v>
      </c>
      <c r="C88" s="32" t="s">
        <v>24</v>
      </c>
      <c r="D88" s="38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</row>
    <row r="89" spans="2:15" s="28" customFormat="1" ht="47.25">
      <c r="B89" s="47" t="s">
        <v>130</v>
      </c>
      <c r="C89" s="32" t="s">
        <v>50</v>
      </c>
      <c r="D89" s="38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</row>
    <row r="90" spans="2:15" s="28" customFormat="1" ht="31.5">
      <c r="B90" s="47" t="s">
        <v>131</v>
      </c>
      <c r="C90" s="32" t="s">
        <v>57</v>
      </c>
      <c r="D90" s="38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</row>
    <row r="91" spans="2:15" s="28" customFormat="1" ht="63">
      <c r="B91" s="47" t="s">
        <v>132</v>
      </c>
      <c r="C91" s="32" t="s">
        <v>24</v>
      </c>
      <c r="D91" s="38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</row>
    <row r="92" spans="2:15" s="28" customFormat="1" ht="31.5">
      <c r="B92" s="47" t="s">
        <v>133</v>
      </c>
      <c r="C92" s="32" t="s">
        <v>50</v>
      </c>
      <c r="D92" s="38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</row>
    <row r="93" spans="2:15" s="28" customFormat="1" ht="31.5">
      <c r="B93" s="47" t="s">
        <v>134</v>
      </c>
      <c r="C93" s="32" t="s">
        <v>57</v>
      </c>
      <c r="D93" s="38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</row>
    <row r="94" spans="2:15" s="28" customFormat="1" ht="63">
      <c r="B94" s="47" t="s">
        <v>135</v>
      </c>
      <c r="C94" s="32" t="s">
        <v>24</v>
      </c>
      <c r="D94" s="38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</row>
    <row r="95" spans="2:15" s="28" customFormat="1" ht="47.25">
      <c r="B95" s="47" t="s">
        <v>136</v>
      </c>
      <c r="C95" s="32" t="s">
        <v>50</v>
      </c>
      <c r="D95" s="38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</row>
    <row r="96" spans="2:15" s="28" customFormat="1" ht="31.5">
      <c r="B96" s="47" t="s">
        <v>137</v>
      </c>
      <c r="C96" s="32" t="s">
        <v>57</v>
      </c>
      <c r="D96" s="38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</row>
    <row r="97" spans="2:15" s="28" customFormat="1" ht="63">
      <c r="B97" s="47" t="s">
        <v>138</v>
      </c>
      <c r="C97" s="32" t="s">
        <v>24</v>
      </c>
      <c r="D97" s="38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</row>
    <row r="98" spans="2:15" s="51" customFormat="1" ht="47.25">
      <c r="B98" s="52" t="s">
        <v>139</v>
      </c>
      <c r="C98" s="53" t="s">
        <v>50</v>
      </c>
      <c r="D98" s="64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</row>
    <row r="99" spans="2:15" s="28" customFormat="1" ht="31.5">
      <c r="B99" s="47" t="s">
        <v>140</v>
      </c>
      <c r="C99" s="32" t="s">
        <v>57</v>
      </c>
      <c r="D99" s="38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</row>
    <row r="100" spans="2:15" s="28" customFormat="1" ht="63">
      <c r="B100" s="47" t="s">
        <v>141</v>
      </c>
      <c r="C100" s="32" t="s">
        <v>24</v>
      </c>
      <c r="D100" s="38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</row>
    <row r="101" spans="2:15" s="28" customFormat="1" ht="31.5">
      <c r="B101" s="40" t="s">
        <v>142</v>
      </c>
      <c r="C101" s="33"/>
      <c r="D101" s="38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</row>
    <row r="102" spans="2:15" s="42" customFormat="1" ht="63">
      <c r="B102" s="43" t="s">
        <v>143</v>
      </c>
      <c r="C102" s="60" t="s">
        <v>50</v>
      </c>
      <c r="D102" s="46">
        <v>440.93400000000003</v>
      </c>
      <c r="E102" s="68">
        <v>394.702</v>
      </c>
      <c r="F102" s="68">
        <f>F103</f>
        <v>427.86269399999992</v>
      </c>
      <c r="G102" s="68">
        <f t="shared" ref="G102:O102" si="6">G103</f>
        <v>450.27713695057798</v>
      </c>
      <c r="H102" s="68">
        <f t="shared" si="6"/>
        <v>452.06218010994598</v>
      </c>
      <c r="I102" s="68">
        <f t="shared" si="6"/>
        <v>455.62242558671988</v>
      </c>
      <c r="J102" s="68">
        <f t="shared" si="6"/>
        <v>473.86580532400797</v>
      </c>
      <c r="K102" s="68">
        <f t="shared" si="6"/>
        <v>477.63036495478434</v>
      </c>
      <c r="L102" s="68">
        <f t="shared" si="6"/>
        <v>485.1832085587863</v>
      </c>
      <c r="M102" s="68">
        <f t="shared" si="6"/>
        <v>498.21208266994489</v>
      </c>
      <c r="N102" s="68">
        <f t="shared" si="6"/>
        <v>504.16082120656279</v>
      </c>
      <c r="O102" s="68">
        <f t="shared" si="6"/>
        <v>516.1670082573504</v>
      </c>
    </row>
    <row r="103" spans="2:15" s="28" customFormat="1" ht="63">
      <c r="B103" s="47" t="s">
        <v>144</v>
      </c>
      <c r="C103" s="33" t="s">
        <v>50</v>
      </c>
      <c r="D103" s="38">
        <v>440.93400000000003</v>
      </c>
      <c r="E103" s="39">
        <v>394.7</v>
      </c>
      <c r="F103" s="39">
        <f>E103*F104*F105/10000</f>
        <v>427.86269399999992</v>
      </c>
      <c r="G103" s="39">
        <f>$F$103*G104*G105/10000</f>
        <v>450.27713695057798</v>
      </c>
      <c r="H103" s="39">
        <f>$F$103*H104*H105/10000</f>
        <v>452.06218010994598</v>
      </c>
      <c r="I103" s="39">
        <f>$F$103*I104*I105/10000</f>
        <v>455.62242558671988</v>
      </c>
      <c r="J103" s="39">
        <f t="shared" ref="J103:O103" si="7">G103*J104*J105/10000</f>
        <v>473.86580532400797</v>
      </c>
      <c r="K103" s="39">
        <f t="shared" si="7"/>
        <v>477.63036495478434</v>
      </c>
      <c r="L103" s="39">
        <f t="shared" si="7"/>
        <v>485.1832085587863</v>
      </c>
      <c r="M103" s="39">
        <f t="shared" si="7"/>
        <v>498.21208266994489</v>
      </c>
      <c r="N103" s="39">
        <f t="shared" si="7"/>
        <v>504.16082120656279</v>
      </c>
      <c r="O103" s="39">
        <f t="shared" si="7"/>
        <v>516.1670082573504</v>
      </c>
    </row>
    <row r="104" spans="2:15" s="28" customFormat="1" ht="31.5">
      <c r="B104" s="47" t="s">
        <v>145</v>
      </c>
      <c r="C104" s="33" t="s">
        <v>57</v>
      </c>
      <c r="D104" s="38">
        <v>104</v>
      </c>
      <c r="E104" s="39">
        <v>104.4</v>
      </c>
      <c r="F104" s="41">
        <v>106.8</v>
      </c>
      <c r="G104" s="49">
        <v>104.3</v>
      </c>
      <c r="H104" s="49">
        <v>104.3</v>
      </c>
      <c r="I104" s="41">
        <v>104.4</v>
      </c>
      <c r="J104" s="41">
        <v>104.3</v>
      </c>
      <c r="K104" s="49">
        <v>104.3</v>
      </c>
      <c r="L104" s="41">
        <v>104.4</v>
      </c>
      <c r="M104" s="49">
        <v>104.2</v>
      </c>
      <c r="N104" s="49">
        <v>104.2</v>
      </c>
      <c r="O104" s="41">
        <v>104.3</v>
      </c>
    </row>
    <row r="105" spans="2:15" s="28" customFormat="1" ht="63">
      <c r="B105" s="47" t="s">
        <v>146</v>
      </c>
      <c r="C105" s="33" t="s">
        <v>24</v>
      </c>
      <c r="D105" s="38">
        <v>118.2</v>
      </c>
      <c r="E105" s="39">
        <f>E103/D103/E104*10000</f>
        <v>85.741887470600318</v>
      </c>
      <c r="F105" s="39">
        <v>101.5</v>
      </c>
      <c r="G105" s="39">
        <v>100.9</v>
      </c>
      <c r="H105" s="39">
        <v>101.3</v>
      </c>
      <c r="I105" s="39">
        <v>102</v>
      </c>
      <c r="J105" s="39">
        <v>100.9</v>
      </c>
      <c r="K105" s="39">
        <v>101.3</v>
      </c>
      <c r="L105" s="39">
        <v>102</v>
      </c>
      <c r="M105" s="39">
        <v>100.9</v>
      </c>
      <c r="N105" s="39">
        <v>101.3</v>
      </c>
      <c r="O105" s="39">
        <v>102</v>
      </c>
    </row>
    <row r="106" spans="2:15" s="28" customFormat="1" ht="31.5">
      <c r="B106" s="40" t="s">
        <v>147</v>
      </c>
      <c r="C106" s="33"/>
      <c r="D106" s="38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</row>
    <row r="107" spans="2:15" s="42" customFormat="1" ht="78.75">
      <c r="B107" s="43" t="s">
        <v>148</v>
      </c>
      <c r="C107" s="60" t="s">
        <v>50</v>
      </c>
      <c r="D107" s="46">
        <v>41.5</v>
      </c>
      <c r="E107" s="68">
        <f>E108</f>
        <v>51</v>
      </c>
      <c r="F107" s="68">
        <f t="shared" ref="F107:O107" si="8">F108</f>
        <v>54.307605000000002</v>
      </c>
      <c r="G107" s="68">
        <f t="shared" si="8"/>
        <v>57.828258416939995</v>
      </c>
      <c r="H107" s="68">
        <f t="shared" si="8"/>
        <v>57.941869926599992</v>
      </c>
      <c r="I107" s="68">
        <f t="shared" si="8"/>
        <v>58.110983808570005</v>
      </c>
      <c r="J107" s="68">
        <f t="shared" si="8"/>
        <v>61.341672085319608</v>
      </c>
      <c r="K107" s="68">
        <f t="shared" si="8"/>
        <v>61.582937032787534</v>
      </c>
      <c r="L107" s="68">
        <f t="shared" si="8"/>
        <v>62.002560172262335</v>
      </c>
      <c r="M107" s="68">
        <f t="shared" si="8"/>
        <v>65.006100892352435</v>
      </c>
      <c r="N107" s="68">
        <f t="shared" si="8"/>
        <v>65.389994200154447</v>
      </c>
      <c r="O107" s="68">
        <f t="shared" si="8"/>
        <v>66.534947320854712</v>
      </c>
    </row>
    <row r="108" spans="2:15" s="28" customFormat="1" ht="63">
      <c r="B108" s="47" t="s">
        <v>149</v>
      </c>
      <c r="C108" s="33" t="s">
        <v>50</v>
      </c>
      <c r="D108" s="38">
        <v>41.5</v>
      </c>
      <c r="E108" s="39">
        <v>51</v>
      </c>
      <c r="F108" s="39">
        <f>E108*F109*F110/10000</f>
        <v>54.307605000000002</v>
      </c>
      <c r="G108" s="39">
        <f>$F$108*G109*G110/10000</f>
        <v>57.828258416939995</v>
      </c>
      <c r="H108" s="39">
        <f>$F$108*H109*H110/10000</f>
        <v>57.941869926599992</v>
      </c>
      <c r="I108" s="39">
        <f>$F$108*I109*I110/10000</f>
        <v>58.110983808570005</v>
      </c>
      <c r="J108" s="39">
        <f t="shared" ref="J108:O108" si="9">G108*J109*J110/10000</f>
        <v>61.341672085319608</v>
      </c>
      <c r="K108" s="39">
        <f t="shared" si="9"/>
        <v>61.582937032787534</v>
      </c>
      <c r="L108" s="39">
        <f t="shared" si="9"/>
        <v>62.002560172262335</v>
      </c>
      <c r="M108" s="39">
        <f t="shared" si="9"/>
        <v>65.006100892352435</v>
      </c>
      <c r="N108" s="39">
        <f t="shared" si="9"/>
        <v>65.389994200154447</v>
      </c>
      <c r="O108" s="39">
        <f t="shared" si="9"/>
        <v>66.534947320854712</v>
      </c>
    </row>
    <row r="109" spans="2:15" s="28" customFormat="1" ht="47.25">
      <c r="B109" s="47" t="s">
        <v>150</v>
      </c>
      <c r="C109" s="33" t="s">
        <v>57</v>
      </c>
      <c r="D109" s="38">
        <v>104</v>
      </c>
      <c r="E109" s="39">
        <v>108.1</v>
      </c>
      <c r="F109" s="39">
        <v>104.5</v>
      </c>
      <c r="G109" s="39">
        <v>104.6</v>
      </c>
      <c r="H109" s="39">
        <v>104.6</v>
      </c>
      <c r="I109" s="39">
        <v>104.7</v>
      </c>
      <c r="J109" s="39">
        <v>104.2</v>
      </c>
      <c r="K109" s="39">
        <v>104.2</v>
      </c>
      <c r="L109" s="39">
        <v>104.4</v>
      </c>
      <c r="M109" s="39">
        <v>104.1</v>
      </c>
      <c r="N109" s="39">
        <v>104.1</v>
      </c>
      <c r="O109" s="39">
        <v>105</v>
      </c>
    </row>
    <row r="110" spans="2:15" s="28" customFormat="1" ht="63">
      <c r="B110" s="47" t="s">
        <v>151</v>
      </c>
      <c r="C110" s="33" t="s">
        <v>24</v>
      </c>
      <c r="D110" s="38">
        <v>92.2</v>
      </c>
      <c r="E110" s="39">
        <f>E108/D108/E109*10000</f>
        <v>113.68322503705849</v>
      </c>
      <c r="F110" s="39">
        <v>101.9</v>
      </c>
      <c r="G110" s="39">
        <v>101.8</v>
      </c>
      <c r="H110" s="39">
        <v>102</v>
      </c>
      <c r="I110" s="39">
        <v>102.2</v>
      </c>
      <c r="J110" s="39">
        <v>101.8</v>
      </c>
      <c r="K110" s="39">
        <v>102</v>
      </c>
      <c r="L110" s="39">
        <v>102.2</v>
      </c>
      <c r="M110" s="39">
        <v>101.8</v>
      </c>
      <c r="N110" s="39">
        <v>102</v>
      </c>
      <c r="O110" s="39">
        <v>102.2</v>
      </c>
    </row>
    <row r="111" spans="2:15" s="28" customFormat="1" ht="15.75">
      <c r="B111" s="31" t="s">
        <v>152</v>
      </c>
      <c r="C111" s="33"/>
      <c r="D111" s="61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</row>
    <row r="112" spans="2:15" s="35" customFormat="1" ht="15.75">
      <c r="B112" s="69" t="s">
        <v>153</v>
      </c>
      <c r="C112" s="70" t="s">
        <v>154</v>
      </c>
      <c r="D112" s="71">
        <v>232.7</v>
      </c>
      <c r="E112" s="71">
        <v>229.3</v>
      </c>
      <c r="F112" s="71">
        <v>235.1</v>
      </c>
      <c r="G112" s="71">
        <f t="shared" ref="G112:O112" si="10">G116+G119</f>
        <v>244.87001559999996</v>
      </c>
      <c r="H112" s="71">
        <f t="shared" si="10"/>
        <v>248.42839800000002</v>
      </c>
      <c r="I112" s="71">
        <f t="shared" si="10"/>
        <v>251.13917440000003</v>
      </c>
      <c r="J112" s="71">
        <f t="shared" si="10"/>
        <v>254.88840864030274</v>
      </c>
      <c r="K112" s="71">
        <f t="shared" si="10"/>
        <v>262.06849280739243</v>
      </c>
      <c r="L112" s="71">
        <f t="shared" si="10"/>
        <v>267.54685469880326</v>
      </c>
      <c r="M112" s="71">
        <f t="shared" si="10"/>
        <v>265.5504510499926</v>
      </c>
      <c r="N112" s="71">
        <f t="shared" si="10"/>
        <v>277.17277802593674</v>
      </c>
      <c r="O112" s="71">
        <f t="shared" si="10"/>
        <v>286.51748212301243</v>
      </c>
    </row>
    <row r="113" spans="2:15" s="28" customFormat="1" ht="63">
      <c r="B113" s="37" t="s">
        <v>155</v>
      </c>
      <c r="C113" s="33" t="s">
        <v>24</v>
      </c>
      <c r="D113" s="61">
        <v>100.9</v>
      </c>
      <c r="E113" s="66">
        <f>E112/D112*100</f>
        <v>98.538891276321451</v>
      </c>
      <c r="F113" s="66">
        <f>F112/E112*100</f>
        <v>102.52943741822939</v>
      </c>
      <c r="G113" s="66">
        <v>99.4</v>
      </c>
      <c r="H113" s="66">
        <v>101</v>
      </c>
      <c r="I113" s="66">
        <v>102.1</v>
      </c>
      <c r="J113" s="66">
        <v>99.9</v>
      </c>
      <c r="K113" s="66">
        <v>101.2</v>
      </c>
      <c r="L113" s="66">
        <v>102.1</v>
      </c>
      <c r="M113" s="66">
        <v>100</v>
      </c>
      <c r="N113" s="66">
        <v>101.6</v>
      </c>
      <c r="O113" s="66">
        <v>102.8</v>
      </c>
    </row>
    <row r="114" spans="2:15" s="28" customFormat="1" ht="31.5">
      <c r="B114" s="37" t="s">
        <v>156</v>
      </c>
      <c r="C114" s="33" t="s">
        <v>57</v>
      </c>
      <c r="D114" s="61">
        <v>104.7</v>
      </c>
      <c r="E114" s="66">
        <v>104.2</v>
      </c>
      <c r="F114" s="66">
        <v>101.4</v>
      </c>
      <c r="G114" s="66">
        <v>104.8</v>
      </c>
      <c r="H114" s="66">
        <v>104.6</v>
      </c>
      <c r="I114" s="66">
        <v>104.6</v>
      </c>
      <c r="J114" s="66">
        <v>104.2</v>
      </c>
      <c r="K114" s="66">
        <v>104.2</v>
      </c>
      <c r="L114" s="66">
        <v>104.3</v>
      </c>
      <c r="M114" s="66">
        <v>104.2</v>
      </c>
      <c r="N114" s="66">
        <v>104.1</v>
      </c>
      <c r="O114" s="66">
        <v>104.2</v>
      </c>
    </row>
    <row r="115" spans="2:15" s="28" customFormat="1" ht="15.75">
      <c r="B115" s="37" t="s">
        <v>157</v>
      </c>
      <c r="C115" s="33"/>
      <c r="D115" s="61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</row>
    <row r="116" spans="2:15" s="28" customFormat="1" ht="15.75">
      <c r="B116" s="37" t="s">
        <v>158</v>
      </c>
      <c r="C116" s="33" t="s">
        <v>159</v>
      </c>
      <c r="D116" s="61">
        <v>100.5</v>
      </c>
      <c r="E116" s="66">
        <v>100.3</v>
      </c>
      <c r="F116" s="66">
        <v>102.4</v>
      </c>
      <c r="G116" s="66">
        <f>$F$116*G117*G118/10000</f>
        <v>106.343424</v>
      </c>
      <c r="H116" s="66">
        <f>$F$116*H117*H118/10000</f>
        <v>107.53443840000001</v>
      </c>
      <c r="I116" s="66">
        <f>$F$116*I117*I118/10000</f>
        <v>109.13955840000003</v>
      </c>
      <c r="J116" s="66">
        <f t="shared" ref="J116:O116" si="11">G116*J117*J118/10000</f>
        <v>110.26069036646399</v>
      </c>
      <c r="K116" s="66">
        <f t="shared" si="11"/>
        <v>112.61113923686401</v>
      </c>
      <c r="L116" s="66">
        <f t="shared" si="11"/>
        <v>115.88416483000324</v>
      </c>
      <c r="M116" s="66">
        <f t="shared" si="11"/>
        <v>114.54696444376991</v>
      </c>
      <c r="N116" s="66">
        <f t="shared" si="11"/>
        <v>118.63155596274524</v>
      </c>
      <c r="O116" s="66">
        <f t="shared" si="11"/>
        <v>124.37383874544929</v>
      </c>
    </row>
    <row r="117" spans="2:15" s="28" customFormat="1" ht="63">
      <c r="B117" s="37" t="s">
        <v>160</v>
      </c>
      <c r="C117" s="33" t="s">
        <v>24</v>
      </c>
      <c r="D117" s="61">
        <v>102.5</v>
      </c>
      <c r="E117" s="66">
        <v>99</v>
      </c>
      <c r="F117" s="66">
        <v>99</v>
      </c>
      <c r="G117" s="66">
        <v>99</v>
      </c>
      <c r="H117" s="66">
        <v>100.3</v>
      </c>
      <c r="I117" s="66">
        <v>101.7</v>
      </c>
      <c r="J117" s="66">
        <v>99.6</v>
      </c>
      <c r="K117" s="66">
        <v>100.5</v>
      </c>
      <c r="L117" s="66">
        <v>101.9</v>
      </c>
      <c r="M117" s="66">
        <v>99.7</v>
      </c>
      <c r="N117" s="66">
        <v>101.1</v>
      </c>
      <c r="O117" s="66">
        <v>103</v>
      </c>
    </row>
    <row r="118" spans="2:15" s="28" customFormat="1" ht="31.5">
      <c r="B118" s="37" t="s">
        <v>161</v>
      </c>
      <c r="C118" s="33" t="s">
        <v>57</v>
      </c>
      <c r="D118" s="61">
        <v>106.2</v>
      </c>
      <c r="E118" s="61">
        <v>101.8</v>
      </c>
      <c r="F118" s="66">
        <v>101.5</v>
      </c>
      <c r="G118" s="66">
        <v>104.9</v>
      </c>
      <c r="H118" s="66">
        <v>104.7</v>
      </c>
      <c r="I118" s="66">
        <v>104.8</v>
      </c>
      <c r="J118" s="66">
        <v>104.1</v>
      </c>
      <c r="K118" s="66">
        <v>104.2</v>
      </c>
      <c r="L118" s="66">
        <v>104.2</v>
      </c>
      <c r="M118" s="66">
        <v>104.2</v>
      </c>
      <c r="N118" s="66">
        <v>104.2</v>
      </c>
      <c r="O118" s="66">
        <v>104.2</v>
      </c>
    </row>
    <row r="119" spans="2:15" s="28" customFormat="1" ht="15.75">
      <c r="B119" s="37" t="s">
        <v>162</v>
      </c>
      <c r="C119" s="33" t="s">
        <v>159</v>
      </c>
      <c r="D119" s="61">
        <v>132.19999999999999</v>
      </c>
      <c r="E119" s="66">
        <v>129</v>
      </c>
      <c r="F119" s="66">
        <v>132.69999999999999</v>
      </c>
      <c r="G119" s="72">
        <f>$F$119*G120*G121/10000</f>
        <v>138.52659159999996</v>
      </c>
      <c r="H119" s="72">
        <f>$F$119*H120*H121/10000</f>
        <v>140.89395959999999</v>
      </c>
      <c r="I119" s="72">
        <f>$F$119*I120*I121/10000</f>
        <v>141.999616</v>
      </c>
      <c r="J119" s="72">
        <f t="shared" ref="J119:O119" si="12">G119*J120*J121/10000</f>
        <v>144.62771827383875</v>
      </c>
      <c r="K119" s="72">
        <f t="shared" si="12"/>
        <v>149.4573535705284</v>
      </c>
      <c r="L119" s="72">
        <f t="shared" si="12"/>
        <v>151.66268986880002</v>
      </c>
      <c r="M119" s="72">
        <f t="shared" si="12"/>
        <v>151.00348660622268</v>
      </c>
      <c r="N119" s="72">
        <f t="shared" si="12"/>
        <v>158.54122206319153</v>
      </c>
      <c r="O119" s="72">
        <f t="shared" si="12"/>
        <v>162.14364337756317</v>
      </c>
    </row>
    <row r="120" spans="2:15" s="28" customFormat="1" ht="63">
      <c r="B120" s="37" t="s">
        <v>163</v>
      </c>
      <c r="C120" s="33" t="s">
        <v>24</v>
      </c>
      <c r="D120" s="61">
        <v>99.4</v>
      </c>
      <c r="E120" s="66">
        <v>99</v>
      </c>
      <c r="F120" s="66">
        <v>99</v>
      </c>
      <c r="G120" s="66">
        <v>99.8</v>
      </c>
      <c r="H120" s="66">
        <v>101.7</v>
      </c>
      <c r="I120" s="66">
        <v>102.4</v>
      </c>
      <c r="J120" s="66">
        <v>100.1</v>
      </c>
      <c r="K120" s="66">
        <v>101.9</v>
      </c>
      <c r="L120" s="66">
        <v>102.5</v>
      </c>
      <c r="M120" s="66">
        <v>100.2</v>
      </c>
      <c r="N120" s="66">
        <v>101.9</v>
      </c>
      <c r="O120" s="66">
        <v>102.7</v>
      </c>
    </row>
    <row r="121" spans="2:15" s="28" customFormat="1" ht="31.5">
      <c r="B121" s="37" t="s">
        <v>164</v>
      </c>
      <c r="C121" s="33" t="s">
        <v>57</v>
      </c>
      <c r="D121" s="61">
        <v>101.3</v>
      </c>
      <c r="E121" s="66">
        <v>107.9</v>
      </c>
      <c r="F121" s="66">
        <v>101.3</v>
      </c>
      <c r="G121" s="66">
        <v>104.6</v>
      </c>
      <c r="H121" s="66">
        <v>104.4</v>
      </c>
      <c r="I121" s="66">
        <v>104.5</v>
      </c>
      <c r="J121" s="66">
        <v>104.3</v>
      </c>
      <c r="K121" s="66">
        <v>104.1</v>
      </c>
      <c r="L121" s="66">
        <v>104.2</v>
      </c>
      <c r="M121" s="66">
        <v>104.2</v>
      </c>
      <c r="N121" s="66">
        <v>104.1</v>
      </c>
      <c r="O121" s="66">
        <v>104.1</v>
      </c>
    </row>
    <row r="122" spans="2:15" s="73" customFormat="1" ht="15.75">
      <c r="B122" s="31" t="s">
        <v>165</v>
      </c>
      <c r="C122" s="33"/>
      <c r="D122" s="61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</row>
    <row r="123" spans="2:15" s="74" customFormat="1" ht="47.25">
      <c r="B123" s="31" t="s">
        <v>166</v>
      </c>
      <c r="C123" s="30" t="s">
        <v>167</v>
      </c>
      <c r="D123" s="75">
        <v>426.78</v>
      </c>
      <c r="E123" s="76">
        <v>432.58</v>
      </c>
      <c r="F123" s="76">
        <f>E123+5</f>
        <v>437.58</v>
      </c>
      <c r="G123" s="76">
        <v>437.6</v>
      </c>
      <c r="H123" s="76">
        <v>440.8</v>
      </c>
      <c r="I123" s="76">
        <f>F123+5</f>
        <v>442.58</v>
      </c>
      <c r="J123" s="76">
        <v>437.6</v>
      </c>
      <c r="K123" s="76">
        <f>H123+3</f>
        <v>443.8</v>
      </c>
      <c r="L123" s="76">
        <f>I123+5</f>
        <v>447.58</v>
      </c>
      <c r="M123" s="76">
        <f>J123</f>
        <v>437.6</v>
      </c>
      <c r="N123" s="76">
        <f>K123+3</f>
        <v>446.8</v>
      </c>
      <c r="O123" s="76">
        <f>L123+5</f>
        <v>452.58</v>
      </c>
    </row>
    <row r="124" spans="2:15" s="73" customFormat="1" ht="47.25">
      <c r="B124" s="37" t="s">
        <v>168</v>
      </c>
      <c r="C124" s="77" t="s">
        <v>169</v>
      </c>
      <c r="D124" s="78">
        <v>121.76</v>
      </c>
      <c r="E124" s="78">
        <v>123.41</v>
      </c>
      <c r="F124" s="78">
        <v>125.4</v>
      </c>
      <c r="G124" s="78">
        <f>F124*95%</f>
        <v>119.13</v>
      </c>
      <c r="H124" s="78">
        <v>125.4</v>
      </c>
      <c r="I124" s="78">
        <f>H124*102%</f>
        <v>127.908</v>
      </c>
      <c r="J124" s="78">
        <f>I124*95%</f>
        <v>121.51259999999999</v>
      </c>
      <c r="K124" s="78">
        <v>125.4</v>
      </c>
      <c r="L124" s="78">
        <f>I124*102%</f>
        <v>130.46616</v>
      </c>
      <c r="M124" s="78">
        <f>J124*101%</f>
        <v>122.72772599999999</v>
      </c>
      <c r="N124" s="78">
        <v>125.4</v>
      </c>
      <c r="O124" s="78">
        <f>L124+101.5%</f>
        <v>131.48115999999999</v>
      </c>
    </row>
    <row r="125" spans="2:15" s="73" customFormat="1" ht="31.5">
      <c r="B125" s="37" t="s">
        <v>170</v>
      </c>
      <c r="C125" s="33" t="s">
        <v>171</v>
      </c>
      <c r="D125" s="61">
        <v>67.099999999999994</v>
      </c>
      <c r="E125" s="61">
        <v>66.900000000000006</v>
      </c>
      <c r="F125" s="61">
        <v>67.7</v>
      </c>
      <c r="G125" s="61">
        <f>G123/646.64*100</f>
        <v>67.672893727576394</v>
      </c>
      <c r="H125" s="61">
        <f t="shared" ref="H125:O125" si="13">H123/646.64*100</f>
        <v>68.167759495236922</v>
      </c>
      <c r="I125" s="61">
        <f t="shared" si="13"/>
        <v>68.443028578498073</v>
      </c>
      <c r="J125" s="61">
        <f t="shared" si="13"/>
        <v>67.672893727576394</v>
      </c>
      <c r="K125" s="61">
        <f t="shared" si="13"/>
        <v>68.631696152418669</v>
      </c>
      <c r="L125" s="61">
        <f t="shared" si="13"/>
        <v>69.216256340467652</v>
      </c>
      <c r="M125" s="61">
        <f t="shared" si="13"/>
        <v>67.672893727576394</v>
      </c>
      <c r="N125" s="61">
        <f t="shared" si="13"/>
        <v>69.095632809600403</v>
      </c>
      <c r="O125" s="61">
        <f t="shared" si="13"/>
        <v>69.989484102437217</v>
      </c>
    </row>
    <row r="126" spans="2:15" s="28" customFormat="1" ht="31.5">
      <c r="B126" s="31" t="s">
        <v>172</v>
      </c>
      <c r="C126" s="33"/>
      <c r="D126" s="61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</row>
    <row r="127" spans="2:15" s="28" customFormat="1" ht="15.75">
      <c r="B127" s="37" t="s">
        <v>173</v>
      </c>
      <c r="C127" s="33" t="s">
        <v>174</v>
      </c>
      <c r="D127" s="61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</row>
    <row r="128" spans="2:15" s="28" customFormat="1" ht="15.75">
      <c r="B128" s="37" t="s">
        <v>175</v>
      </c>
      <c r="C128" s="33" t="s">
        <v>174</v>
      </c>
      <c r="D128" s="61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</row>
    <row r="129" spans="2:15" s="28" customFormat="1" ht="15.75">
      <c r="B129" s="37" t="s">
        <v>176</v>
      </c>
      <c r="C129" s="33" t="s">
        <v>174</v>
      </c>
      <c r="D129" s="61">
        <v>1.6679999999999999</v>
      </c>
      <c r="E129" s="66">
        <v>1.869</v>
      </c>
      <c r="F129" s="66">
        <v>1.9490000000000001</v>
      </c>
      <c r="G129" s="66">
        <v>1.8</v>
      </c>
      <c r="H129" s="66">
        <v>1.9379999999999999</v>
      </c>
      <c r="I129" s="66">
        <v>2.0348999999999999</v>
      </c>
      <c r="J129" s="66">
        <v>1.8</v>
      </c>
      <c r="K129" s="66">
        <v>1.9379999999999999</v>
      </c>
      <c r="L129" s="66">
        <v>2.0755979999999998</v>
      </c>
      <c r="M129" s="66">
        <v>1.8</v>
      </c>
      <c r="N129" s="66">
        <v>1.9379999999999999</v>
      </c>
      <c r="O129" s="66">
        <v>2.1793779</v>
      </c>
    </row>
    <row r="130" spans="2:15" s="28" customFormat="1" ht="15.75">
      <c r="B130" s="37" t="s">
        <v>177</v>
      </c>
      <c r="C130" s="33" t="s">
        <v>174</v>
      </c>
      <c r="D130" s="61">
        <v>1</v>
      </c>
      <c r="E130" s="66">
        <v>0.99099999999999999</v>
      </c>
      <c r="F130" s="66">
        <v>1</v>
      </c>
      <c r="G130" s="66">
        <v>1.0404</v>
      </c>
      <c r="H130" s="66">
        <v>1.02</v>
      </c>
      <c r="I130" s="66">
        <v>1.0710000000000002</v>
      </c>
      <c r="J130" s="66">
        <v>1.0612079999999999</v>
      </c>
      <c r="K130" s="66">
        <v>1.02</v>
      </c>
      <c r="L130" s="66">
        <v>1.0924200000000002</v>
      </c>
      <c r="M130" s="66">
        <v>1.08243216</v>
      </c>
      <c r="N130" s="66">
        <v>1.02</v>
      </c>
      <c r="O130" s="66">
        <v>1.1470410000000002</v>
      </c>
    </row>
    <row r="131" spans="2:15" s="28" customFormat="1" ht="15.75">
      <c r="B131" s="37" t="s">
        <v>178</v>
      </c>
      <c r="C131" s="33" t="s">
        <v>174</v>
      </c>
      <c r="D131" s="61">
        <v>0.20699999999999999</v>
      </c>
      <c r="E131" s="66">
        <v>0.20699999999999999</v>
      </c>
      <c r="F131" s="66">
        <v>0.2</v>
      </c>
      <c r="G131" s="66">
        <v>0.2</v>
      </c>
      <c r="H131" s="66">
        <v>0.3</v>
      </c>
      <c r="I131" s="66">
        <v>0.2</v>
      </c>
      <c r="J131" s="66">
        <v>0.2</v>
      </c>
      <c r="K131" s="66">
        <v>0.2</v>
      </c>
      <c r="L131" s="66">
        <v>0.3</v>
      </c>
      <c r="M131" s="66">
        <v>0.2</v>
      </c>
      <c r="N131" s="66">
        <v>0.2</v>
      </c>
      <c r="O131" s="66">
        <v>0.3</v>
      </c>
    </row>
    <row r="132" spans="2:15" s="28" customFormat="1" ht="15.75">
      <c r="B132" s="37" t="s">
        <v>179</v>
      </c>
      <c r="C132" s="33" t="s">
        <v>174</v>
      </c>
      <c r="D132" s="61">
        <v>1.302</v>
      </c>
      <c r="E132" s="61">
        <v>1.292</v>
      </c>
      <c r="F132" s="66">
        <v>1.3</v>
      </c>
      <c r="G132" s="66">
        <v>1.3</v>
      </c>
      <c r="H132" s="66">
        <v>1.3</v>
      </c>
      <c r="I132" s="66">
        <v>1.4</v>
      </c>
      <c r="J132" s="66">
        <v>1.2</v>
      </c>
      <c r="K132" s="66">
        <v>1.3</v>
      </c>
      <c r="L132" s="66">
        <v>1.4</v>
      </c>
      <c r="M132" s="66">
        <v>1.2</v>
      </c>
      <c r="N132" s="66">
        <v>1.3</v>
      </c>
      <c r="O132" s="66">
        <v>1.4</v>
      </c>
    </row>
    <row r="133" spans="2:15" s="28" customFormat="1" ht="15.75">
      <c r="B133" s="37" t="s">
        <v>180</v>
      </c>
      <c r="C133" s="33" t="s">
        <v>181</v>
      </c>
      <c r="D133" s="61">
        <v>0.38100000000000001</v>
      </c>
      <c r="E133" s="66">
        <v>0.4</v>
      </c>
      <c r="F133" s="66">
        <v>0.4</v>
      </c>
      <c r="G133" s="66">
        <v>0.38</v>
      </c>
      <c r="H133" s="66">
        <v>0.4</v>
      </c>
      <c r="I133" s="66">
        <v>0.45</v>
      </c>
      <c r="J133" s="66">
        <v>0.4</v>
      </c>
      <c r="K133" s="66">
        <v>0.4</v>
      </c>
      <c r="L133" s="66">
        <v>0.5</v>
      </c>
      <c r="M133" s="66">
        <v>0.4</v>
      </c>
      <c r="N133" s="66">
        <v>0.4</v>
      </c>
      <c r="O133" s="66">
        <v>0.5</v>
      </c>
    </row>
    <row r="134" spans="2:15" s="28" customFormat="1" ht="15.75">
      <c r="B134" s="37" t="s">
        <v>182</v>
      </c>
      <c r="C134" s="33" t="s">
        <v>183</v>
      </c>
      <c r="D134" s="61">
        <v>0.06</v>
      </c>
      <c r="E134" s="34">
        <v>0.06</v>
      </c>
      <c r="F134" s="34">
        <v>6.1199999999999997E-2</v>
      </c>
      <c r="G134" s="34">
        <v>6.2424E-2</v>
      </c>
      <c r="H134" s="34">
        <v>6.1199999999999997E-2</v>
      </c>
      <c r="I134" s="34">
        <v>6.4259999999999998E-2</v>
      </c>
      <c r="J134" s="34">
        <v>6.3672480000000004E-2</v>
      </c>
      <c r="K134" s="34">
        <v>6.1199999999999997E-2</v>
      </c>
      <c r="L134" s="34">
        <v>6.5545199999999998E-2</v>
      </c>
      <c r="M134" s="34">
        <v>6.4945929600000007E-2</v>
      </c>
      <c r="N134" s="34">
        <v>6.1199999999999997E-2</v>
      </c>
      <c r="O134" s="34">
        <v>6.8822460000000002E-2</v>
      </c>
    </row>
    <row r="135" spans="2:15" s="28" customFormat="1" ht="15.75">
      <c r="B135" s="37" t="s">
        <v>184</v>
      </c>
      <c r="C135" s="33" t="s">
        <v>174</v>
      </c>
      <c r="D135" s="61">
        <v>2564.8000000000002</v>
      </c>
      <c r="E135" s="66">
        <v>2295.8000000000002</v>
      </c>
      <c r="F135" s="66">
        <v>1836.64</v>
      </c>
      <c r="G135" s="66">
        <f>F135*92.4%</f>
        <v>1697.0553600000001</v>
      </c>
      <c r="H135" s="66">
        <f>F135*101.3%</f>
        <v>1860.51632</v>
      </c>
      <c r="I135" s="66">
        <f>F135*102.1%</f>
        <v>1875.2094399999999</v>
      </c>
      <c r="J135" s="66">
        <f>G135*102.1%</f>
        <v>1732.69352256</v>
      </c>
      <c r="K135" s="66">
        <f>H135*102.2%</f>
        <v>1901.4476790399999</v>
      </c>
      <c r="L135" s="66">
        <f>I135*102%</f>
        <v>1912.7136287999999</v>
      </c>
      <c r="M135" s="66">
        <f>J135*102%</f>
        <v>1767.3473930112</v>
      </c>
      <c r="N135" s="66">
        <f>K135*101.7%</f>
        <v>1933.77228958368</v>
      </c>
      <c r="O135" s="66">
        <f>L135*105%</f>
        <v>2008.34931024</v>
      </c>
    </row>
    <row r="136" spans="2:15" s="28" customFormat="1" ht="15.75">
      <c r="B136" s="37" t="s">
        <v>185</v>
      </c>
      <c r="C136" s="33" t="s">
        <v>186</v>
      </c>
      <c r="D136" s="61">
        <v>3.8</v>
      </c>
      <c r="E136" s="66">
        <v>3.5781000000000001</v>
      </c>
      <c r="F136" s="66">
        <f>E136*96.5%</f>
        <v>3.4528664999999998</v>
      </c>
      <c r="G136" s="66">
        <f>F136*92.4%</f>
        <v>3.1904486460000001</v>
      </c>
      <c r="H136" s="66">
        <f>F136*101.3%</f>
        <v>3.4977537644999996</v>
      </c>
      <c r="I136" s="66">
        <f>F136*102.1%</f>
        <v>3.5253766964999995</v>
      </c>
      <c r="J136" s="66">
        <f>G136*102.1%</f>
        <v>3.257448067566</v>
      </c>
      <c r="K136" s="66">
        <f>H136*102.2%</f>
        <v>3.5747043473189999</v>
      </c>
      <c r="L136" s="66">
        <f>I136*102%</f>
        <v>3.5958842304299994</v>
      </c>
      <c r="M136" s="66">
        <f>J136*102%</f>
        <v>3.3225970289173201</v>
      </c>
      <c r="N136" s="66">
        <f>K136*101.7%</f>
        <v>3.6354743212234233</v>
      </c>
      <c r="O136" s="66">
        <f>L136*105%</f>
        <v>3.7756784419514995</v>
      </c>
    </row>
    <row r="137" spans="2:15" s="28" customFormat="1" ht="15.75">
      <c r="B137" s="37" t="s">
        <v>187</v>
      </c>
      <c r="C137" s="33" t="s">
        <v>174</v>
      </c>
      <c r="D137" s="61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</row>
    <row r="138" spans="2:15" s="28" customFormat="1" ht="15.75">
      <c r="B138" s="37" t="s">
        <v>188</v>
      </c>
      <c r="C138" s="33" t="s">
        <v>174</v>
      </c>
      <c r="D138" s="61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</row>
    <row r="139" spans="2:15" s="28" customFormat="1" ht="15.75">
      <c r="B139" s="37" t="s">
        <v>189</v>
      </c>
      <c r="C139" s="33" t="s">
        <v>174</v>
      </c>
      <c r="D139" s="61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</row>
    <row r="140" spans="2:15" s="28" customFormat="1" ht="15.75">
      <c r="B140" s="37" t="s">
        <v>190</v>
      </c>
      <c r="C140" s="33" t="s">
        <v>174</v>
      </c>
      <c r="D140" s="61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</row>
    <row r="141" spans="2:15" s="28" customFormat="1" ht="15.75">
      <c r="B141" s="37" t="s">
        <v>191</v>
      </c>
      <c r="C141" s="33" t="s">
        <v>174</v>
      </c>
      <c r="D141" s="79">
        <v>0.48499999999999999</v>
      </c>
      <c r="E141" s="34">
        <v>0.48499999999999999</v>
      </c>
      <c r="F141" s="34">
        <v>0.48799999999999999</v>
      </c>
      <c r="G141" s="34">
        <v>0.48</v>
      </c>
      <c r="H141" s="34">
        <f>F141</f>
        <v>0.48799999999999999</v>
      </c>
      <c r="I141" s="34">
        <f>F141*105%</f>
        <v>0.51239999999999997</v>
      </c>
      <c r="J141" s="34">
        <v>0.48</v>
      </c>
      <c r="K141" s="34">
        <v>0.49</v>
      </c>
      <c r="L141" s="34">
        <f>I141*102%</f>
        <v>0.522648</v>
      </c>
      <c r="M141" s="34">
        <v>0.48</v>
      </c>
      <c r="N141" s="34">
        <f>K141</f>
        <v>0.49</v>
      </c>
      <c r="O141" s="34">
        <v>0.52</v>
      </c>
    </row>
    <row r="142" spans="2:15" s="28" customFormat="1" ht="15.75">
      <c r="B142" s="37" t="s">
        <v>192</v>
      </c>
      <c r="C142" s="33" t="s">
        <v>193</v>
      </c>
      <c r="D142" s="61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</row>
    <row r="143" spans="2:15" s="28" customFormat="1" ht="15.75">
      <c r="B143" s="37" t="s">
        <v>194</v>
      </c>
      <c r="C143" s="33" t="s">
        <v>193</v>
      </c>
      <c r="D143" s="61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</row>
    <row r="144" spans="2:15" s="28" customFormat="1" ht="15.75">
      <c r="B144" s="37" t="s">
        <v>195</v>
      </c>
      <c r="C144" s="33" t="s">
        <v>193</v>
      </c>
      <c r="D144" s="61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</row>
    <row r="145" spans="2:16" s="28" customFormat="1" ht="31.5">
      <c r="B145" s="37" t="s">
        <v>196</v>
      </c>
      <c r="C145" s="33" t="s">
        <v>193</v>
      </c>
      <c r="D145" s="61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</row>
    <row r="146" spans="2:16" s="28" customFormat="1" ht="31.5">
      <c r="B146" s="37" t="s">
        <v>197</v>
      </c>
      <c r="C146" s="33" t="s">
        <v>193</v>
      </c>
      <c r="D146" s="61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</row>
    <row r="147" spans="2:16" s="28" customFormat="1" ht="15.75">
      <c r="B147" s="37" t="s">
        <v>198</v>
      </c>
      <c r="C147" s="33" t="s">
        <v>181</v>
      </c>
      <c r="D147" s="61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</row>
    <row r="148" spans="2:16" s="73" customFormat="1" ht="15.75">
      <c r="B148" s="37" t="s">
        <v>199</v>
      </c>
      <c r="C148" s="33" t="s">
        <v>200</v>
      </c>
      <c r="D148" s="61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</row>
    <row r="149" spans="2:16" s="73" customFormat="1" ht="75.75" customHeight="1">
      <c r="B149" s="37" t="s">
        <v>201</v>
      </c>
      <c r="C149" s="33" t="s">
        <v>183</v>
      </c>
      <c r="D149" s="61">
        <v>6.0000000000000001E-3</v>
      </c>
      <c r="E149" s="66">
        <v>4.0000000000000001E-3</v>
      </c>
      <c r="F149" s="66">
        <v>4.4999999999999997E-3</v>
      </c>
      <c r="G149" s="66">
        <f>F149*100.7%</f>
        <v>4.5314999999999999E-3</v>
      </c>
      <c r="H149" s="66">
        <f>F149*101%</f>
        <v>4.5449999999999996E-3</v>
      </c>
      <c r="I149" s="66">
        <f>F149*105%</f>
        <v>4.725E-3</v>
      </c>
      <c r="J149" s="66">
        <f>G149*101.1%</f>
        <v>4.5813464999999998E-3</v>
      </c>
      <c r="K149" s="66">
        <f>H149*101.5%</f>
        <v>4.6131749999999989E-3</v>
      </c>
      <c r="L149" s="66">
        <f>H149*105%</f>
        <v>4.7722499999999996E-3</v>
      </c>
      <c r="M149" s="66">
        <f>J149*101.1%</f>
        <v>4.6317413114999994E-3</v>
      </c>
      <c r="N149" s="66">
        <f>K149*101.5%</f>
        <v>4.6823726249999986E-3</v>
      </c>
      <c r="O149" s="66">
        <f>K149*105%</f>
        <v>4.8438337499999993E-3</v>
      </c>
    </row>
    <row r="150" spans="2:16" s="73" customFormat="1" ht="15.75">
      <c r="B150" s="37" t="s">
        <v>202</v>
      </c>
      <c r="C150" s="33" t="s">
        <v>203</v>
      </c>
      <c r="D150" s="61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</row>
    <row r="151" spans="2:16" s="73" customFormat="1" ht="15.75">
      <c r="B151" s="37" t="s">
        <v>204</v>
      </c>
      <c r="C151" s="33" t="s">
        <v>203</v>
      </c>
      <c r="D151" s="61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</row>
    <row r="152" spans="2:16" s="73" customFormat="1" ht="15.75">
      <c r="B152" s="37" t="s">
        <v>205</v>
      </c>
      <c r="C152" s="33" t="s">
        <v>174</v>
      </c>
      <c r="D152" s="61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</row>
    <row r="153" spans="2:16" s="73" customFormat="1" ht="15.75">
      <c r="B153" s="37" t="s">
        <v>206</v>
      </c>
      <c r="C153" s="33" t="s">
        <v>203</v>
      </c>
      <c r="D153" s="61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</row>
    <row r="154" spans="2:16" s="73" customFormat="1" ht="60.75" customHeight="1">
      <c r="B154" s="37" t="s">
        <v>296</v>
      </c>
      <c r="C154" s="33" t="s">
        <v>203</v>
      </c>
      <c r="D154" s="61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80"/>
    </row>
    <row r="155" spans="2:16" s="73" customFormat="1" ht="15.75">
      <c r="B155" s="37" t="s">
        <v>207</v>
      </c>
      <c r="C155" s="33" t="s">
        <v>208</v>
      </c>
      <c r="D155" s="61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</row>
    <row r="156" spans="2:16" s="73" customFormat="1" ht="31.5">
      <c r="B156" s="81" t="s">
        <v>209</v>
      </c>
      <c r="C156" s="33" t="s">
        <v>174</v>
      </c>
      <c r="D156" s="61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</row>
    <row r="157" spans="2:16" s="73" customFormat="1" ht="31.5">
      <c r="B157" s="81" t="s">
        <v>210</v>
      </c>
      <c r="C157" s="33" t="s">
        <v>211</v>
      </c>
      <c r="D157" s="61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</row>
    <row r="158" spans="2:16" s="73" customFormat="1" ht="15.75">
      <c r="B158" s="37" t="s">
        <v>212</v>
      </c>
      <c r="C158" s="33" t="s">
        <v>213</v>
      </c>
      <c r="D158" s="82">
        <v>0.23300000000000001</v>
      </c>
      <c r="E158" s="83">
        <v>0.26</v>
      </c>
      <c r="F158" s="83">
        <v>0.26</v>
      </c>
      <c r="G158" s="83">
        <v>0.24997140000000001</v>
      </c>
      <c r="H158" s="83">
        <v>0.24507000000000001</v>
      </c>
      <c r="I158" s="83">
        <v>0.25732350000000004</v>
      </c>
      <c r="J158" s="83">
        <v>0.25497082800000004</v>
      </c>
      <c r="K158" s="83">
        <v>0.24507000000000001</v>
      </c>
      <c r="L158" s="83">
        <v>0.26246997000000005</v>
      </c>
      <c r="M158" s="83">
        <v>0.26007024456000005</v>
      </c>
      <c r="N158" s="83">
        <v>0.24507000000000001</v>
      </c>
      <c r="O158" s="83">
        <v>0.27559346850000005</v>
      </c>
    </row>
    <row r="159" spans="2:16" s="73" customFormat="1" ht="15.75">
      <c r="B159" s="37" t="s">
        <v>214</v>
      </c>
      <c r="C159" s="33"/>
      <c r="D159" s="61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</row>
    <row r="160" spans="2:16" s="73" customFormat="1" ht="15.75">
      <c r="B160" s="37" t="s">
        <v>215</v>
      </c>
      <c r="C160" s="33" t="s">
        <v>213</v>
      </c>
      <c r="D160" s="61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</row>
    <row r="161" spans="2:15" s="73" customFormat="1" ht="15.75">
      <c r="B161" s="37" t="s">
        <v>216</v>
      </c>
      <c r="C161" s="33" t="s">
        <v>213</v>
      </c>
      <c r="D161" s="61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</row>
    <row r="162" spans="2:15" s="73" customFormat="1" ht="15.75">
      <c r="B162" s="37" t="s">
        <v>217</v>
      </c>
      <c r="C162" s="33" t="s">
        <v>213</v>
      </c>
      <c r="D162" s="61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</row>
    <row r="163" spans="2:15" s="73" customFormat="1" ht="15.75">
      <c r="B163" s="31" t="s">
        <v>218</v>
      </c>
      <c r="C163" s="33"/>
      <c r="D163" s="61"/>
      <c r="E163" s="84"/>
      <c r="F163" s="66"/>
      <c r="G163" s="66"/>
      <c r="H163" s="66"/>
      <c r="I163" s="66"/>
      <c r="J163" s="66"/>
      <c r="K163" s="66"/>
      <c r="L163" s="66"/>
      <c r="M163" s="66"/>
      <c r="N163" s="66"/>
      <c r="O163" s="66"/>
    </row>
    <row r="164" spans="2:15" s="73" customFormat="1" ht="47.25">
      <c r="B164" s="37" t="s">
        <v>219</v>
      </c>
      <c r="C164" s="77" t="s">
        <v>220</v>
      </c>
      <c r="D164" s="78">
        <v>1129.9000000000001</v>
      </c>
      <c r="E164" s="66">
        <v>830.21600000000001</v>
      </c>
      <c r="F164" s="66">
        <f>E164*F165*F166/10000</f>
        <v>868.51303386399991</v>
      </c>
      <c r="G164" s="66">
        <f>$F$164*G165*G166/10000</f>
        <v>864.69157651499825</v>
      </c>
      <c r="H164" s="66">
        <f>$F$164*H165*H166/10000</f>
        <v>909.3331464556079</v>
      </c>
      <c r="I164" s="66">
        <f>$F$164*I165*I166/10000</f>
        <v>972.98646670750065</v>
      </c>
      <c r="J164" s="66">
        <f t="shared" ref="J164:O164" si="14">G164*J165*J166/10000</f>
        <v>875.6558657052085</v>
      </c>
      <c r="K164" s="66">
        <f t="shared" si="14"/>
        <v>955.07351305547149</v>
      </c>
      <c r="L164" s="66">
        <f t="shared" si="14"/>
        <v>1068.6106036690469</v>
      </c>
      <c r="M164" s="66">
        <f t="shared" si="14"/>
        <v>880.81347875421238</v>
      </c>
      <c r="N164" s="66">
        <f t="shared" si="14"/>
        <v>993.38246673763956</v>
      </c>
      <c r="O164" s="66">
        <f t="shared" si="14"/>
        <v>1166.8811033930563</v>
      </c>
    </row>
    <row r="165" spans="2:15" s="73" customFormat="1" ht="63">
      <c r="B165" s="37" t="s">
        <v>221</v>
      </c>
      <c r="C165" s="33" t="s">
        <v>24</v>
      </c>
      <c r="D165" s="61">
        <v>74.599999999999994</v>
      </c>
      <c r="E165" s="66">
        <f>E164/D164*100</f>
        <v>73.476944862377195</v>
      </c>
      <c r="F165" s="66">
        <v>100.3</v>
      </c>
      <c r="G165" s="66">
        <v>95</v>
      </c>
      <c r="H165" s="66">
        <v>100</v>
      </c>
      <c r="I165" s="66">
        <v>107</v>
      </c>
      <c r="J165" s="66">
        <v>97</v>
      </c>
      <c r="K165" s="66">
        <v>100.7</v>
      </c>
      <c r="L165" s="66">
        <v>105.3</v>
      </c>
      <c r="M165" s="66">
        <v>97</v>
      </c>
      <c r="N165" s="66">
        <v>100.3</v>
      </c>
      <c r="O165" s="66">
        <v>105.3</v>
      </c>
    </row>
    <row r="166" spans="2:15" s="73" customFormat="1" ht="31.5">
      <c r="B166" s="37" t="s">
        <v>222</v>
      </c>
      <c r="C166" s="33" t="s">
        <v>57</v>
      </c>
      <c r="D166" s="61">
        <v>105.1</v>
      </c>
      <c r="E166" s="66">
        <v>110.8</v>
      </c>
      <c r="F166" s="66">
        <v>104.3</v>
      </c>
      <c r="G166" s="66">
        <v>104.8</v>
      </c>
      <c r="H166" s="66">
        <v>104.7</v>
      </c>
      <c r="I166" s="66">
        <v>104.7</v>
      </c>
      <c r="J166" s="66">
        <v>104.4</v>
      </c>
      <c r="K166" s="66">
        <v>104.3</v>
      </c>
      <c r="L166" s="66">
        <v>104.3</v>
      </c>
      <c r="M166" s="66">
        <v>103.7</v>
      </c>
      <c r="N166" s="66">
        <v>103.7</v>
      </c>
      <c r="O166" s="66">
        <v>103.7</v>
      </c>
    </row>
    <row r="167" spans="2:15" s="73" customFormat="1" ht="31.5">
      <c r="B167" s="81" t="s">
        <v>223</v>
      </c>
      <c r="C167" s="77" t="s">
        <v>224</v>
      </c>
      <c r="D167" s="78">
        <v>5.51</v>
      </c>
      <c r="E167" s="66">
        <v>3.5019999999999998</v>
      </c>
      <c r="F167" s="66">
        <f>E167*89%</f>
        <v>3.1167799999999999</v>
      </c>
      <c r="G167" s="66">
        <f>H167*95%</f>
        <v>2.9609409999999996</v>
      </c>
      <c r="H167" s="66">
        <f>F167</f>
        <v>3.1167799999999999</v>
      </c>
      <c r="I167" s="66">
        <f>H167*110%</f>
        <v>3.428458</v>
      </c>
      <c r="J167" s="66">
        <f>G167*98%</f>
        <v>2.9017221799999997</v>
      </c>
      <c r="K167" s="66">
        <f>H167*100%</f>
        <v>3.1167799999999999</v>
      </c>
      <c r="L167" s="66">
        <f>I167*105%</f>
        <v>3.5998809000000001</v>
      </c>
      <c r="M167" s="66">
        <f>J167*101%</f>
        <v>2.9307394017999999</v>
      </c>
      <c r="N167" s="66">
        <f>K167*102%</f>
        <v>3.1791155999999998</v>
      </c>
      <c r="O167" s="66">
        <f>L167*107.3%</f>
        <v>3.8626722057</v>
      </c>
    </row>
    <row r="168" spans="2:15" s="73" customFormat="1" ht="15.75">
      <c r="B168" s="81" t="s">
        <v>225</v>
      </c>
      <c r="C168" s="77" t="s">
        <v>3</v>
      </c>
      <c r="D168" s="78">
        <v>100</v>
      </c>
      <c r="E168" s="78">
        <v>100</v>
      </c>
      <c r="F168" s="78">
        <v>100</v>
      </c>
      <c r="G168" s="78">
        <v>100</v>
      </c>
      <c r="H168" s="78">
        <v>100</v>
      </c>
      <c r="I168" s="78">
        <v>100</v>
      </c>
      <c r="J168" s="78">
        <v>100</v>
      </c>
      <c r="K168" s="78">
        <v>100</v>
      </c>
      <c r="L168" s="78">
        <v>100</v>
      </c>
      <c r="M168" s="78">
        <v>100</v>
      </c>
      <c r="N168" s="78">
        <v>100</v>
      </c>
      <c r="O168" s="78">
        <v>100</v>
      </c>
    </row>
    <row r="169" spans="2:15" s="73" customFormat="1" ht="15.75">
      <c r="B169" s="31" t="s">
        <v>226</v>
      </c>
      <c r="C169" s="33"/>
      <c r="D169" s="61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</row>
    <row r="170" spans="2:15" s="73" customFormat="1" ht="47.25">
      <c r="B170" s="81" t="s">
        <v>227</v>
      </c>
      <c r="C170" s="33" t="s">
        <v>220</v>
      </c>
      <c r="D170" s="61">
        <v>27816.21</v>
      </c>
      <c r="E170" s="66">
        <v>24915.200000000001</v>
      </c>
      <c r="F170" s="66">
        <v>26544.799999999999</v>
      </c>
      <c r="G170" s="66">
        <f>$F$170*G171*G172/10000</f>
        <v>27087.375712000001</v>
      </c>
      <c r="H170" s="66">
        <f>$F$170*H171*H172/10000</f>
        <v>27951.6744</v>
      </c>
      <c r="I170" s="66">
        <f>$F$170*I171*I172/10000</f>
        <v>28397.892488000001</v>
      </c>
      <c r="J170" s="66">
        <f t="shared" ref="J170:O170" si="15">G170*J171*J172/10000</f>
        <v>27483.393144909442</v>
      </c>
      <c r="K170" s="66">
        <f t="shared" si="15"/>
        <v>29293.3547712</v>
      </c>
      <c r="L170" s="66">
        <f t="shared" si="15"/>
        <v>30296.68917131763</v>
      </c>
      <c r="M170" s="66">
        <f t="shared" si="15"/>
        <v>28057.686128065467</v>
      </c>
      <c r="N170" s="66">
        <f t="shared" si="15"/>
        <v>30640.849090675198</v>
      </c>
      <c r="O170" s="66">
        <f t="shared" si="15"/>
        <v>32385.948856571693</v>
      </c>
    </row>
    <row r="171" spans="2:15" s="73" customFormat="1" ht="63">
      <c r="B171" s="81" t="s">
        <v>228</v>
      </c>
      <c r="C171" s="33" t="s">
        <v>24</v>
      </c>
      <c r="D171" s="61">
        <v>128.69999999999999</v>
      </c>
      <c r="E171" s="66">
        <f>E170/D170/E172*10000</f>
        <v>73.478911758029355</v>
      </c>
      <c r="F171" s="66">
        <f>F170/E170/F172*10000</f>
        <v>100.69998645234503</v>
      </c>
      <c r="G171" s="66">
        <v>97</v>
      </c>
      <c r="H171" s="66">
        <v>100</v>
      </c>
      <c r="I171" s="66">
        <v>101.5</v>
      </c>
      <c r="J171" s="66">
        <v>97</v>
      </c>
      <c r="K171" s="66">
        <v>100</v>
      </c>
      <c r="L171" s="66">
        <v>101.8</v>
      </c>
      <c r="M171" s="66">
        <v>97.6</v>
      </c>
      <c r="N171" s="66">
        <v>100</v>
      </c>
      <c r="O171" s="66">
        <v>102</v>
      </c>
    </row>
    <row r="172" spans="2:15" s="73" customFormat="1" ht="31.5">
      <c r="B172" s="37" t="s">
        <v>229</v>
      </c>
      <c r="C172" s="33" t="s">
        <v>57</v>
      </c>
      <c r="D172" s="61">
        <v>111.5</v>
      </c>
      <c r="E172" s="66">
        <v>121.9</v>
      </c>
      <c r="F172" s="66">
        <v>105.8</v>
      </c>
      <c r="G172" s="66">
        <v>105.2</v>
      </c>
      <c r="H172" s="66">
        <v>105.3</v>
      </c>
      <c r="I172" s="66">
        <v>105.4</v>
      </c>
      <c r="J172" s="66">
        <v>104.6</v>
      </c>
      <c r="K172" s="66">
        <v>104.8</v>
      </c>
      <c r="L172" s="66">
        <v>104.8</v>
      </c>
      <c r="M172" s="66">
        <v>104.6</v>
      </c>
      <c r="N172" s="66">
        <v>104.6</v>
      </c>
      <c r="O172" s="66">
        <v>104.8</v>
      </c>
    </row>
    <row r="173" spans="2:15" s="73" customFormat="1" ht="63">
      <c r="B173" s="37" t="s">
        <v>230</v>
      </c>
      <c r="C173" s="33" t="s">
        <v>50</v>
      </c>
      <c r="D173" s="61">
        <v>11224.91</v>
      </c>
      <c r="E173" s="66">
        <v>11983.5</v>
      </c>
      <c r="F173" s="66">
        <v>12343.005000000001</v>
      </c>
      <c r="G173" s="66">
        <v>11972.71485</v>
      </c>
      <c r="H173" s="66">
        <v>12343.005000000001</v>
      </c>
      <c r="I173" s="66">
        <v>12589.865100000001</v>
      </c>
      <c r="J173" s="66">
        <v>11613.5334045</v>
      </c>
      <c r="K173" s="66">
        <v>13302.567055000003</v>
      </c>
      <c r="L173" s="66">
        <v>12841.662402000002</v>
      </c>
      <c r="M173" s="66">
        <v>11919.751889200001</v>
      </c>
      <c r="N173" s="66">
        <v>13302.567055000003</v>
      </c>
      <c r="O173" s="66">
        <v>13098.495650040002</v>
      </c>
    </row>
    <row r="174" spans="2:15" s="73" customFormat="1" ht="63">
      <c r="B174" s="37" t="s">
        <v>231</v>
      </c>
      <c r="C174" s="33" t="s">
        <v>24</v>
      </c>
      <c r="D174" s="61">
        <v>77.400000000000006</v>
      </c>
      <c r="E174" s="66">
        <f>E173/D173*100</f>
        <v>106.75809427425253</v>
      </c>
      <c r="F174" s="66">
        <f>F173/E173*100</f>
        <v>103</v>
      </c>
      <c r="G174" s="66">
        <f t="shared" ref="G174:O174" si="16">G173/F173*100</f>
        <v>97</v>
      </c>
      <c r="H174" s="66">
        <f t="shared" si="16"/>
        <v>103.09278350515466</v>
      </c>
      <c r="I174" s="66">
        <f t="shared" si="16"/>
        <v>102</v>
      </c>
      <c r="J174" s="66">
        <f t="shared" si="16"/>
        <v>92.245098039215677</v>
      </c>
      <c r="K174" s="66">
        <f t="shared" si="16"/>
        <v>114.54366721712393</v>
      </c>
      <c r="L174" s="66">
        <f t="shared" si="16"/>
        <v>96.53522022407877</v>
      </c>
      <c r="M174" s="66">
        <f t="shared" si="16"/>
        <v>92.820941059341195</v>
      </c>
      <c r="N174" s="66">
        <f t="shared" si="16"/>
        <v>111.60103984255673</v>
      </c>
      <c r="O174" s="66">
        <f t="shared" si="16"/>
        <v>98.465924628560344</v>
      </c>
    </row>
    <row r="175" spans="2:15" s="73" customFormat="1" ht="31.5">
      <c r="B175" s="37" t="s">
        <v>229</v>
      </c>
      <c r="C175" s="33" t="s">
        <v>57</v>
      </c>
      <c r="D175" s="61">
        <v>104.2</v>
      </c>
      <c r="E175" s="66">
        <v>114.6</v>
      </c>
      <c r="F175" s="66">
        <v>105.8</v>
      </c>
      <c r="G175" s="66">
        <f>G172</f>
        <v>105.2</v>
      </c>
      <c r="H175" s="66">
        <f t="shared" ref="H175:O175" si="17">H172</f>
        <v>105.3</v>
      </c>
      <c r="I175" s="66">
        <f t="shared" si="17"/>
        <v>105.4</v>
      </c>
      <c r="J175" s="66">
        <f t="shared" si="17"/>
        <v>104.6</v>
      </c>
      <c r="K175" s="66">
        <f t="shared" si="17"/>
        <v>104.8</v>
      </c>
      <c r="L175" s="66">
        <f t="shared" si="17"/>
        <v>104.8</v>
      </c>
      <c r="M175" s="66">
        <f t="shared" si="17"/>
        <v>104.6</v>
      </c>
      <c r="N175" s="66">
        <f t="shared" si="17"/>
        <v>104.6</v>
      </c>
      <c r="O175" s="66">
        <f t="shared" si="17"/>
        <v>104.8</v>
      </c>
    </row>
    <row r="176" spans="2:15" s="73" customFormat="1" ht="79.5" customHeight="1">
      <c r="B176" s="85" t="s">
        <v>232</v>
      </c>
      <c r="C176" s="33"/>
      <c r="D176" s="61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</row>
    <row r="177" spans="2:15" s="73" customFormat="1" ht="15.75">
      <c r="B177" s="81" t="s">
        <v>233</v>
      </c>
      <c r="C177" s="33" t="s">
        <v>4</v>
      </c>
      <c r="D177" s="61">
        <v>10994.9</v>
      </c>
      <c r="E177" s="66">
        <v>11747.2</v>
      </c>
      <c r="F177" s="66">
        <f>F170-F178</f>
        <v>26174.5</v>
      </c>
      <c r="G177" s="66">
        <f>F177*0.98</f>
        <v>25651.01</v>
      </c>
      <c r="H177" s="66">
        <f>F177</f>
        <v>26174.5</v>
      </c>
      <c r="I177" s="66">
        <f>F177*1.05</f>
        <v>27483.225000000002</v>
      </c>
      <c r="J177" s="66">
        <f>G177*0.988</f>
        <v>25343.19788</v>
      </c>
      <c r="K177" s="66">
        <f>I177*1.02</f>
        <v>28032.889500000001</v>
      </c>
      <c r="L177" s="66">
        <f>I177+1.05</f>
        <v>27484.275000000001</v>
      </c>
      <c r="M177" s="66">
        <f>J177</f>
        <v>25343.19788</v>
      </c>
      <c r="N177" s="66">
        <f>L177</f>
        <v>27484.275000000001</v>
      </c>
      <c r="O177" s="66">
        <f>L177</f>
        <v>27484.275000000001</v>
      </c>
    </row>
    <row r="178" spans="2:15" s="73" customFormat="1" ht="15.75">
      <c r="B178" s="81" t="s">
        <v>234</v>
      </c>
      <c r="C178" s="33" t="s">
        <v>4</v>
      </c>
      <c r="D178" s="61">
        <v>230</v>
      </c>
      <c r="E178" s="66">
        <v>236.33799999999999</v>
      </c>
      <c r="F178" s="66">
        <v>370.3</v>
      </c>
      <c r="G178" s="66">
        <f>G170-G177</f>
        <v>1436.3657120000025</v>
      </c>
      <c r="H178" s="66">
        <f t="shared" ref="H178:O178" si="18">H170-H177</f>
        <v>1777.1743999999999</v>
      </c>
      <c r="I178" s="66">
        <f t="shared" si="18"/>
        <v>914.66748799999914</v>
      </c>
      <c r="J178" s="66">
        <f t="shared" si="18"/>
        <v>2140.1952649094419</v>
      </c>
      <c r="K178" s="66">
        <v>479.8</v>
      </c>
      <c r="L178" s="66">
        <f t="shared" si="18"/>
        <v>2812.4141713176286</v>
      </c>
      <c r="M178" s="66">
        <v>327.3</v>
      </c>
      <c r="N178" s="66">
        <f t="shared" si="18"/>
        <v>3156.5740906751962</v>
      </c>
      <c r="O178" s="66">
        <f t="shared" si="18"/>
        <v>4901.6738565716914</v>
      </c>
    </row>
    <row r="179" spans="2:15" s="73" customFormat="1" ht="15.75">
      <c r="B179" s="37" t="s">
        <v>235</v>
      </c>
      <c r="C179" s="33" t="s">
        <v>4</v>
      </c>
      <c r="D179" s="61">
        <v>0</v>
      </c>
      <c r="E179" s="61">
        <v>0</v>
      </c>
      <c r="F179" s="61">
        <v>0</v>
      </c>
      <c r="G179" s="61">
        <v>0</v>
      </c>
      <c r="H179" s="61">
        <v>0</v>
      </c>
      <c r="I179" s="61">
        <v>0</v>
      </c>
      <c r="J179" s="61">
        <v>0</v>
      </c>
      <c r="K179" s="61">
        <v>0</v>
      </c>
      <c r="L179" s="61">
        <v>0</v>
      </c>
      <c r="M179" s="61">
        <v>0</v>
      </c>
      <c r="N179" s="61">
        <v>0</v>
      </c>
      <c r="O179" s="61">
        <v>0</v>
      </c>
    </row>
    <row r="180" spans="2:15" s="73" customFormat="1" ht="15.75">
      <c r="B180" s="37" t="s">
        <v>236</v>
      </c>
      <c r="C180" s="33" t="s">
        <v>4</v>
      </c>
      <c r="D180" s="61">
        <v>0</v>
      </c>
      <c r="E180" s="61">
        <v>0</v>
      </c>
      <c r="F180" s="61">
        <v>0</v>
      </c>
      <c r="G180" s="61">
        <v>0</v>
      </c>
      <c r="H180" s="61">
        <v>0</v>
      </c>
      <c r="I180" s="61">
        <v>0</v>
      </c>
      <c r="J180" s="61">
        <v>0</v>
      </c>
      <c r="K180" s="61">
        <v>0</v>
      </c>
      <c r="L180" s="61">
        <v>0</v>
      </c>
      <c r="M180" s="61">
        <v>0</v>
      </c>
      <c r="N180" s="61">
        <v>0</v>
      </c>
      <c r="O180" s="61">
        <v>0</v>
      </c>
    </row>
    <row r="181" spans="2:15" s="73" customFormat="1" ht="15.75">
      <c r="B181" s="37" t="s">
        <v>237</v>
      </c>
      <c r="C181" s="33" t="s">
        <v>4</v>
      </c>
      <c r="D181" s="61">
        <v>0</v>
      </c>
      <c r="E181" s="61">
        <v>0</v>
      </c>
      <c r="F181" s="61">
        <v>0</v>
      </c>
      <c r="G181" s="61">
        <v>0</v>
      </c>
      <c r="H181" s="61">
        <v>0</v>
      </c>
      <c r="I181" s="61">
        <v>0</v>
      </c>
      <c r="J181" s="61">
        <v>0</v>
      </c>
      <c r="K181" s="61">
        <v>0</v>
      </c>
      <c r="L181" s="61">
        <v>0</v>
      </c>
      <c r="M181" s="61">
        <v>0</v>
      </c>
      <c r="N181" s="61">
        <v>0</v>
      </c>
      <c r="O181" s="61">
        <v>0</v>
      </c>
    </row>
    <row r="182" spans="2:15" s="73" customFormat="1" ht="15.75">
      <c r="B182" s="37" t="s">
        <v>238</v>
      </c>
      <c r="C182" s="33" t="s">
        <v>4</v>
      </c>
      <c r="D182" s="61">
        <v>39.936999999999998</v>
      </c>
      <c r="E182" s="66">
        <f>E184+E185+E186</f>
        <v>26.607999999999997</v>
      </c>
      <c r="F182" s="66">
        <f>F184+F185+F186</f>
        <v>31.9</v>
      </c>
      <c r="G182" s="66">
        <f>G184+G185+G186</f>
        <v>25.8</v>
      </c>
      <c r="H182" s="66">
        <f>H184+H185+H186</f>
        <v>31.9</v>
      </c>
      <c r="I182" s="66">
        <f>I184+I185+I186</f>
        <v>38</v>
      </c>
      <c r="J182" s="66">
        <v>28</v>
      </c>
      <c r="K182" s="66">
        <v>40</v>
      </c>
      <c r="L182" s="66">
        <v>45</v>
      </c>
      <c r="M182" s="66">
        <v>29</v>
      </c>
      <c r="N182" s="66">
        <v>40</v>
      </c>
      <c r="O182" s="66">
        <v>45</v>
      </c>
    </row>
    <row r="183" spans="2:15" s="73" customFormat="1" ht="15.75">
      <c r="B183" s="37" t="s">
        <v>239</v>
      </c>
      <c r="C183" s="33"/>
      <c r="D183" s="61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</row>
    <row r="184" spans="2:15" s="73" customFormat="1" ht="15.75">
      <c r="B184" s="81" t="s">
        <v>240</v>
      </c>
      <c r="C184" s="33" t="s">
        <v>4</v>
      </c>
      <c r="D184" s="61">
        <v>5.3559999999999999</v>
      </c>
      <c r="E184" s="66">
        <v>2.306</v>
      </c>
      <c r="F184" s="66">
        <v>2.5</v>
      </c>
      <c r="G184" s="66">
        <v>2.2999999999999998</v>
      </c>
      <c r="H184" s="66">
        <v>2.5</v>
      </c>
      <c r="I184" s="66">
        <v>5</v>
      </c>
      <c r="J184" s="66">
        <v>2.2999999999999998</v>
      </c>
      <c r="K184" s="66">
        <v>2.5</v>
      </c>
      <c r="L184" s="66">
        <v>5</v>
      </c>
      <c r="M184" s="66">
        <v>2.2999999999999998</v>
      </c>
      <c r="N184" s="66">
        <v>2.5</v>
      </c>
      <c r="O184" s="66">
        <v>5</v>
      </c>
    </row>
    <row r="185" spans="2:15" s="73" customFormat="1" ht="15.75">
      <c r="B185" s="81" t="s">
        <v>241</v>
      </c>
      <c r="C185" s="33" t="s">
        <v>4</v>
      </c>
      <c r="D185" s="61">
        <v>11.7</v>
      </c>
      <c r="E185" s="66">
        <v>4.399</v>
      </c>
      <c r="F185" s="66">
        <v>4.4000000000000004</v>
      </c>
      <c r="G185" s="66">
        <v>4</v>
      </c>
      <c r="H185" s="66">
        <v>4.4000000000000004</v>
      </c>
      <c r="I185" s="66">
        <v>8</v>
      </c>
      <c r="J185" s="66">
        <v>4</v>
      </c>
      <c r="K185" s="66">
        <v>4.4000000000000004</v>
      </c>
      <c r="L185" s="66">
        <v>8</v>
      </c>
      <c r="M185" s="66">
        <v>4</v>
      </c>
      <c r="N185" s="66">
        <v>4.4000000000000004</v>
      </c>
      <c r="O185" s="66">
        <v>8</v>
      </c>
    </row>
    <row r="186" spans="2:15" s="73" customFormat="1" ht="15.75">
      <c r="B186" s="81" t="s">
        <v>242</v>
      </c>
      <c r="C186" s="33" t="s">
        <v>4</v>
      </c>
      <c r="D186" s="61">
        <v>22.9</v>
      </c>
      <c r="E186" s="66">
        <v>19.902999999999999</v>
      </c>
      <c r="F186" s="66">
        <v>25</v>
      </c>
      <c r="G186" s="66">
        <v>19.5</v>
      </c>
      <c r="H186" s="66">
        <v>25</v>
      </c>
      <c r="I186" s="66">
        <v>25</v>
      </c>
      <c r="J186" s="66">
        <v>19.5</v>
      </c>
      <c r="K186" s="66">
        <v>25</v>
      </c>
      <c r="L186" s="66">
        <v>25</v>
      </c>
      <c r="M186" s="66">
        <v>19.5</v>
      </c>
      <c r="N186" s="66">
        <v>25</v>
      </c>
      <c r="O186" s="66">
        <v>25</v>
      </c>
    </row>
    <row r="187" spans="2:15" s="73" customFormat="1" ht="15.75">
      <c r="B187" s="37" t="s">
        <v>243</v>
      </c>
      <c r="C187" s="33" t="s">
        <v>4</v>
      </c>
      <c r="D187" s="61">
        <v>2.1</v>
      </c>
      <c r="E187" s="66">
        <v>1.2030000000000001</v>
      </c>
      <c r="F187" s="66">
        <v>1.7</v>
      </c>
      <c r="G187" s="66">
        <v>1.5</v>
      </c>
      <c r="H187" s="66">
        <v>1.7</v>
      </c>
      <c r="I187" s="66">
        <v>2.5</v>
      </c>
      <c r="J187" s="66">
        <v>1.5</v>
      </c>
      <c r="K187" s="66">
        <v>1.7</v>
      </c>
      <c r="L187" s="66">
        <v>2.5</v>
      </c>
      <c r="M187" s="61">
        <v>0</v>
      </c>
      <c r="N187" s="66">
        <v>1.7</v>
      </c>
      <c r="O187" s="66">
        <v>2.5</v>
      </c>
    </row>
    <row r="188" spans="2:15" s="73" customFormat="1" ht="15.75">
      <c r="B188" s="31" t="s">
        <v>244</v>
      </c>
      <c r="C188" s="33"/>
      <c r="D188" s="61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</row>
    <row r="189" spans="2:15" s="28" customFormat="1" ht="47.25">
      <c r="B189" s="81" t="s">
        <v>245</v>
      </c>
      <c r="C189" s="86" t="s">
        <v>220</v>
      </c>
      <c r="D189" s="87">
        <v>467.4</v>
      </c>
      <c r="E189" s="66">
        <v>472.81799999999998</v>
      </c>
      <c r="F189" s="66">
        <f>E189*F190*F191/10000</f>
        <v>500.55917769600006</v>
      </c>
      <c r="G189" s="66">
        <f>$F$189*G190*G191/10000</f>
        <v>499.78331097057128</v>
      </c>
      <c r="H189" s="66">
        <f>$F$189*H190*H191/10000</f>
        <v>528.08993246928003</v>
      </c>
      <c r="I189" s="66">
        <f>$F$189*I190*I191/10000</f>
        <v>538.65173111866568</v>
      </c>
      <c r="J189" s="66">
        <f t="shared" ref="J189:O189" si="19">G189*J190*J191/10000</f>
        <v>505.15098373039524</v>
      </c>
      <c r="K189" s="66">
        <f t="shared" si="19"/>
        <v>550.79779956545906</v>
      </c>
      <c r="L189" s="66">
        <f t="shared" si="19"/>
        <v>571.92640315679</v>
      </c>
      <c r="M189" s="66">
        <f t="shared" si="19"/>
        <v>500.52885222926216</v>
      </c>
      <c r="N189" s="66">
        <f t="shared" si="19"/>
        <v>574.4821049467738</v>
      </c>
      <c r="O189" s="66">
        <f t="shared" si="19"/>
        <v>608.4496232623826</v>
      </c>
    </row>
    <row r="190" spans="2:15" s="28" customFormat="1" ht="63">
      <c r="B190" s="81" t="s">
        <v>246</v>
      </c>
      <c r="C190" s="86" t="s">
        <v>24</v>
      </c>
      <c r="D190" s="87">
        <v>92.5</v>
      </c>
      <c r="E190" s="66">
        <f>E189/D189*100</f>
        <v>101.15917843388959</v>
      </c>
      <c r="F190" s="66">
        <v>101.6</v>
      </c>
      <c r="G190" s="66">
        <v>95</v>
      </c>
      <c r="H190" s="66">
        <v>100</v>
      </c>
      <c r="I190" s="66">
        <v>102</v>
      </c>
      <c r="J190" s="66">
        <v>97</v>
      </c>
      <c r="K190" s="66">
        <v>100</v>
      </c>
      <c r="L190" s="66">
        <v>101.8</v>
      </c>
      <c r="M190" s="66">
        <v>95</v>
      </c>
      <c r="N190" s="66">
        <v>100</v>
      </c>
      <c r="O190" s="66">
        <v>102</v>
      </c>
    </row>
    <row r="191" spans="2:15" s="28" customFormat="1" ht="31.5">
      <c r="B191" s="37" t="s">
        <v>247</v>
      </c>
      <c r="C191" s="33" t="s">
        <v>57</v>
      </c>
      <c r="D191" s="61">
        <v>104</v>
      </c>
      <c r="E191" s="66">
        <v>115.4</v>
      </c>
      <c r="F191" s="66">
        <v>104.2</v>
      </c>
      <c r="G191" s="66">
        <v>105.1</v>
      </c>
      <c r="H191" s="66">
        <v>105.5</v>
      </c>
      <c r="I191" s="66">
        <v>105.5</v>
      </c>
      <c r="J191" s="66">
        <v>104.2</v>
      </c>
      <c r="K191" s="66">
        <v>104.3</v>
      </c>
      <c r="L191" s="66">
        <v>104.3</v>
      </c>
      <c r="M191" s="66">
        <v>104.3</v>
      </c>
      <c r="N191" s="66">
        <v>104.3</v>
      </c>
      <c r="O191" s="66">
        <v>104.3</v>
      </c>
    </row>
    <row r="192" spans="2:15" s="28" customFormat="1" ht="15.75">
      <c r="B192" s="37" t="s">
        <v>248</v>
      </c>
      <c r="C192" s="33" t="s">
        <v>50</v>
      </c>
      <c r="D192" s="61">
        <v>22.7</v>
      </c>
      <c r="E192" s="66">
        <v>26.343</v>
      </c>
      <c r="F192" s="66">
        <f>E192*F193*F194/10000</f>
        <v>28.183005863999995</v>
      </c>
      <c r="G192" s="66">
        <f>$F$192*G193*G194/10000</f>
        <v>27.7644882269196</v>
      </c>
      <c r="H192" s="66">
        <f>$F$192*H193*H194/10000</f>
        <v>29.310326098559994</v>
      </c>
      <c r="I192" s="66">
        <f>$F$192*I193*I194/10000</f>
        <v>29.896532620531193</v>
      </c>
      <c r="J192" s="66">
        <f t="shared" ref="J192:O192" si="20">G192*J193*J194/10000</f>
        <v>28.008815723316495</v>
      </c>
      <c r="K192" s="66">
        <f t="shared" si="20"/>
        <v>30.482739142502396</v>
      </c>
      <c r="L192" s="66">
        <f t="shared" si="20"/>
        <v>31.652057016008783</v>
      </c>
      <c r="M192" s="66">
        <f t="shared" si="20"/>
        <v>27.672709934636693</v>
      </c>
      <c r="N192" s="66">
        <f t="shared" si="20"/>
        <v>31.702048708202494</v>
      </c>
      <c r="O192" s="66">
        <f t="shared" si="20"/>
        <v>33.576502082582117</v>
      </c>
    </row>
    <row r="193" spans="2:15" s="28" customFormat="1" ht="63">
      <c r="B193" s="37" t="s">
        <v>249</v>
      </c>
      <c r="C193" s="33" t="s">
        <v>24</v>
      </c>
      <c r="D193" s="61">
        <v>147.6</v>
      </c>
      <c r="E193" s="66">
        <f>E192/D192*100</f>
        <v>116.04845814977973</v>
      </c>
      <c r="F193" s="66">
        <v>101.6</v>
      </c>
      <c r="G193" s="66">
        <v>95</v>
      </c>
      <c r="H193" s="66">
        <v>100</v>
      </c>
      <c r="I193" s="66">
        <v>102</v>
      </c>
      <c r="J193" s="66">
        <v>97</v>
      </c>
      <c r="K193" s="66">
        <v>100</v>
      </c>
      <c r="L193" s="66">
        <v>101.8</v>
      </c>
      <c r="M193" s="66">
        <v>95</v>
      </c>
      <c r="N193" s="66">
        <v>100</v>
      </c>
      <c r="O193" s="66">
        <v>102</v>
      </c>
    </row>
    <row r="194" spans="2:15" s="73" customFormat="1" ht="78.75">
      <c r="B194" s="37" t="s">
        <v>31</v>
      </c>
      <c r="C194" s="33" t="s">
        <v>32</v>
      </c>
      <c r="D194" s="61">
        <v>104</v>
      </c>
      <c r="E194" s="66">
        <v>115</v>
      </c>
      <c r="F194" s="66">
        <v>105.3</v>
      </c>
      <c r="G194" s="66">
        <v>103.7</v>
      </c>
      <c r="H194" s="66">
        <v>104</v>
      </c>
      <c r="I194" s="66">
        <v>104</v>
      </c>
      <c r="J194" s="66">
        <v>104</v>
      </c>
      <c r="K194" s="66">
        <v>104</v>
      </c>
      <c r="L194" s="66">
        <v>104</v>
      </c>
      <c r="M194" s="66">
        <v>104</v>
      </c>
      <c r="N194" s="66">
        <v>104</v>
      </c>
      <c r="O194" s="66">
        <v>104</v>
      </c>
    </row>
    <row r="195" spans="2:15" s="28" customFormat="1" ht="15.75">
      <c r="B195" s="85" t="s">
        <v>250</v>
      </c>
      <c r="C195" s="86"/>
      <c r="D195" s="87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</row>
    <row r="196" spans="2:15" s="28" customFormat="1" ht="47.25">
      <c r="B196" s="81" t="s">
        <v>251</v>
      </c>
      <c r="C196" s="77" t="s">
        <v>220</v>
      </c>
      <c r="D196" s="78">
        <f>D189-D197</f>
        <v>455.4</v>
      </c>
      <c r="E196" s="78">
        <f t="shared" ref="E196:O196" si="21">E189-E197</f>
        <v>455.81799999999998</v>
      </c>
      <c r="F196" s="78">
        <f t="shared" si="21"/>
        <v>481.55917769600006</v>
      </c>
      <c r="G196" s="78">
        <f t="shared" si="21"/>
        <v>482.78331097057128</v>
      </c>
      <c r="H196" s="78">
        <f t="shared" si="21"/>
        <v>509.08993246928003</v>
      </c>
      <c r="I196" s="78">
        <f t="shared" si="21"/>
        <v>518.65173111866568</v>
      </c>
      <c r="J196" s="78">
        <f t="shared" si="21"/>
        <v>487.15098373039524</v>
      </c>
      <c r="K196" s="78">
        <f t="shared" si="21"/>
        <v>531.79779956545906</v>
      </c>
      <c r="L196" s="78">
        <f t="shared" si="21"/>
        <v>549.92640315679</v>
      </c>
      <c r="M196" s="78">
        <f t="shared" si="21"/>
        <v>481.52885222926216</v>
      </c>
      <c r="N196" s="78">
        <f t="shared" si="21"/>
        <v>555.4821049467738</v>
      </c>
      <c r="O196" s="78">
        <f t="shared" si="21"/>
        <v>586.4496232623826</v>
      </c>
    </row>
    <row r="197" spans="2:15" s="28" customFormat="1" ht="47.25">
      <c r="B197" s="81" t="s">
        <v>252</v>
      </c>
      <c r="C197" s="77" t="s">
        <v>220</v>
      </c>
      <c r="D197" s="78">
        <v>12</v>
      </c>
      <c r="E197" s="66">
        <v>17</v>
      </c>
      <c r="F197" s="66">
        <v>19</v>
      </c>
      <c r="G197" s="66">
        <v>17</v>
      </c>
      <c r="H197" s="66">
        <v>19</v>
      </c>
      <c r="I197" s="66">
        <v>20</v>
      </c>
      <c r="J197" s="66">
        <v>18</v>
      </c>
      <c r="K197" s="66">
        <v>19</v>
      </c>
      <c r="L197" s="66">
        <v>22</v>
      </c>
      <c r="M197" s="66">
        <v>19</v>
      </c>
      <c r="N197" s="66">
        <v>19</v>
      </c>
      <c r="O197" s="66">
        <v>22</v>
      </c>
    </row>
    <row r="198" spans="2:15" s="28" customFormat="1" ht="15.75">
      <c r="B198" s="81" t="s">
        <v>253</v>
      </c>
      <c r="C198" s="86" t="s">
        <v>154</v>
      </c>
      <c r="D198" s="87">
        <f>D196*63%</f>
        <v>286.90199999999999</v>
      </c>
      <c r="E198" s="87">
        <f>E196*72%</f>
        <v>328.18895999999995</v>
      </c>
      <c r="F198" s="87">
        <f>F196*73.1%</f>
        <v>352.01975889577602</v>
      </c>
      <c r="G198" s="87">
        <f>G196*73%</f>
        <v>352.43181700851704</v>
      </c>
      <c r="H198" s="87">
        <f>H196*73.5%</f>
        <v>374.18110036492084</v>
      </c>
      <c r="I198" s="87">
        <f>I196*75%</f>
        <v>388.98879833899923</v>
      </c>
      <c r="J198" s="87">
        <f>J196*72.8%</f>
        <v>354.64591615572772</v>
      </c>
      <c r="K198" s="87">
        <f>K196*73.4%</f>
        <v>390.33958488104702</v>
      </c>
      <c r="L198" s="87">
        <f>L196*75.8%</f>
        <v>416.84421359284681</v>
      </c>
      <c r="M198" s="87">
        <f>M196*73.3%</f>
        <v>352.96064868404915</v>
      </c>
      <c r="N198" s="87">
        <f>N196*73.4%</f>
        <v>407.72386503093202</v>
      </c>
      <c r="O198" s="87">
        <f>O196*77%</f>
        <v>451.56620991203459</v>
      </c>
    </row>
    <row r="199" spans="2:15" s="28" customFormat="1" ht="47.25">
      <c r="B199" s="81" t="s">
        <v>254</v>
      </c>
      <c r="C199" s="86" t="s">
        <v>255</v>
      </c>
      <c r="D199" s="87">
        <v>113.2</v>
      </c>
      <c r="E199" s="66">
        <f>E198/D198*100</f>
        <v>114.39061421670115</v>
      </c>
      <c r="F199" s="66">
        <f>F198/E198*100</f>
        <v>107.26130424855731</v>
      </c>
      <c r="G199" s="66">
        <f>G198/$F$198*100</f>
        <v>100.11705539314997</v>
      </c>
      <c r="H199" s="66">
        <f>H198/$F$198*100</f>
        <v>106.29548225891099</v>
      </c>
      <c r="I199" s="66">
        <f>I198/$F$198*100</f>
        <v>110.50197851370291</v>
      </c>
      <c r="J199" s="66">
        <f t="shared" ref="J199:O199" si="22">J198/G198*100</f>
        <v>100.62823475076803</v>
      </c>
      <c r="K199" s="66">
        <f t="shared" si="22"/>
        <v>104.31835934534577</v>
      </c>
      <c r="L199" s="66">
        <f t="shared" si="22"/>
        <v>107.16098133745535</v>
      </c>
      <c r="M199" s="66">
        <f t="shared" si="22"/>
        <v>99.524802797690043</v>
      </c>
      <c r="N199" s="66">
        <f t="shared" si="22"/>
        <v>104.45362981957946</v>
      </c>
      <c r="O199" s="66">
        <f t="shared" si="22"/>
        <v>108.32972971362931</v>
      </c>
    </row>
    <row r="200" spans="2:15" s="28" customFormat="1" ht="15.75">
      <c r="B200" s="85" t="s">
        <v>256</v>
      </c>
      <c r="C200" s="77"/>
      <c r="D200" s="78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</row>
    <row r="201" spans="2:15" s="28" customFormat="1" ht="110.25">
      <c r="B201" s="81" t="s">
        <v>257</v>
      </c>
      <c r="C201" s="86" t="s">
        <v>258</v>
      </c>
      <c r="D201" s="88">
        <f>D189*62%</f>
        <v>289.78800000000001</v>
      </c>
      <c r="E201" s="88">
        <f>E189*64%</f>
        <v>302.60352</v>
      </c>
      <c r="F201" s="88">
        <f>F189*61%</f>
        <v>305.34109839456005</v>
      </c>
      <c r="G201" s="88">
        <f t="shared" ref="G201:O201" si="23">G189*62%</f>
        <v>309.86565280175421</v>
      </c>
      <c r="H201" s="88">
        <f t="shared" si="23"/>
        <v>327.41575813095363</v>
      </c>
      <c r="I201" s="88">
        <f t="shared" si="23"/>
        <v>333.96407329357271</v>
      </c>
      <c r="J201" s="88">
        <f t="shared" si="23"/>
        <v>313.19360991284503</v>
      </c>
      <c r="K201" s="88">
        <f t="shared" si="23"/>
        <v>341.4946357305846</v>
      </c>
      <c r="L201" s="88">
        <f t="shared" si="23"/>
        <v>354.59436995720978</v>
      </c>
      <c r="M201" s="88">
        <f t="shared" si="23"/>
        <v>310.32788838214253</v>
      </c>
      <c r="N201" s="88">
        <f t="shared" si="23"/>
        <v>356.17890506699973</v>
      </c>
      <c r="O201" s="88">
        <f t="shared" si="23"/>
        <v>377.2387664226772</v>
      </c>
    </row>
    <row r="202" spans="2:15" s="28" customFormat="1" ht="110.25">
      <c r="B202" s="81" t="s">
        <v>259</v>
      </c>
      <c r="C202" s="86" t="s">
        <v>258</v>
      </c>
      <c r="D202" s="89">
        <f>D189-D201</f>
        <v>177.61199999999997</v>
      </c>
      <c r="E202" s="89">
        <f t="shared" ref="E202:O202" si="24">E189-E201</f>
        <v>170.21447999999998</v>
      </c>
      <c r="F202" s="89">
        <f t="shared" si="24"/>
        <v>195.21807930144001</v>
      </c>
      <c r="G202" s="89">
        <f t="shared" si="24"/>
        <v>189.91765816881707</v>
      </c>
      <c r="H202" s="89">
        <f t="shared" si="24"/>
        <v>200.6741743383264</v>
      </c>
      <c r="I202" s="89">
        <f t="shared" si="24"/>
        <v>204.68765782509297</v>
      </c>
      <c r="J202" s="89">
        <f t="shared" si="24"/>
        <v>191.95737381755021</v>
      </c>
      <c r="K202" s="89">
        <f t="shared" si="24"/>
        <v>209.30316383487445</v>
      </c>
      <c r="L202" s="89">
        <f t="shared" si="24"/>
        <v>217.33203319958022</v>
      </c>
      <c r="M202" s="89">
        <f t="shared" si="24"/>
        <v>190.20096384711962</v>
      </c>
      <c r="N202" s="89">
        <f t="shared" si="24"/>
        <v>218.30319987977407</v>
      </c>
      <c r="O202" s="89">
        <f t="shared" si="24"/>
        <v>231.2108568397054</v>
      </c>
    </row>
    <row r="203" spans="2:15" s="28" customFormat="1" ht="15.75">
      <c r="B203" s="81" t="s">
        <v>260</v>
      </c>
      <c r="C203" s="86" t="s">
        <v>154</v>
      </c>
      <c r="D203" s="87">
        <v>82.4</v>
      </c>
      <c r="E203" s="66">
        <v>85.78</v>
      </c>
      <c r="F203" s="66">
        <f>E203+104.6%</f>
        <v>86.826000000000008</v>
      </c>
      <c r="G203" s="66">
        <f>$F$203*G204*G205/10000</f>
        <v>86.937137280000002</v>
      </c>
      <c r="H203" s="66">
        <f>$F$203*H204*H205/10000</f>
        <v>90.993647999999993</v>
      </c>
      <c r="I203" s="66">
        <f>$F$203*I204*I205/10000</f>
        <v>93.541470144000016</v>
      </c>
      <c r="J203" s="66">
        <f t="shared" ref="J203:O203" si="25">G203*J204*J205/10000</f>
        <v>86.141662473888005</v>
      </c>
      <c r="K203" s="66">
        <f t="shared" si="25"/>
        <v>94.997368512000008</v>
      </c>
      <c r="L203" s="66">
        <f t="shared" si="25"/>
        <v>99.21981154762139</v>
      </c>
      <c r="M203" s="66">
        <f t="shared" si="25"/>
        <v>88.947296420662539</v>
      </c>
      <c r="N203" s="66">
        <f t="shared" si="25"/>
        <v>99.17725272652801</v>
      </c>
      <c r="O203" s="66">
        <f t="shared" si="25"/>
        <v>105.45002195431962</v>
      </c>
    </row>
    <row r="204" spans="2:15" s="28" customFormat="1" ht="63">
      <c r="B204" s="81" t="s">
        <v>261</v>
      </c>
      <c r="C204" s="33" t="s">
        <v>24</v>
      </c>
      <c r="D204" s="61">
        <v>104.4</v>
      </c>
      <c r="E204" s="66">
        <f>E203/D203*100</f>
        <v>104.10194174757281</v>
      </c>
      <c r="F204" s="66">
        <f>F203/E203*100</f>
        <v>101.21939846117978</v>
      </c>
      <c r="G204" s="66">
        <v>96</v>
      </c>
      <c r="H204" s="66">
        <v>100</v>
      </c>
      <c r="I204" s="66">
        <v>102.8</v>
      </c>
      <c r="J204" s="66">
        <v>95</v>
      </c>
      <c r="K204" s="66">
        <v>100</v>
      </c>
      <c r="L204" s="66">
        <v>101.6</v>
      </c>
      <c r="M204" s="66">
        <v>99</v>
      </c>
      <c r="N204" s="66">
        <v>100</v>
      </c>
      <c r="O204" s="66">
        <v>101.8</v>
      </c>
    </row>
    <row r="205" spans="2:15" s="28" customFormat="1" ht="31.5">
      <c r="B205" s="37" t="s">
        <v>262</v>
      </c>
      <c r="C205" s="33" t="s">
        <v>57</v>
      </c>
      <c r="D205" s="61">
        <v>104.4</v>
      </c>
      <c r="E205" s="66">
        <v>108</v>
      </c>
      <c r="F205" s="66">
        <v>107.5</v>
      </c>
      <c r="G205" s="66">
        <v>104.3</v>
      </c>
      <c r="H205" s="66">
        <v>104.8</v>
      </c>
      <c r="I205" s="66">
        <v>104.8</v>
      </c>
      <c r="J205" s="66">
        <v>104.3</v>
      </c>
      <c r="K205" s="66">
        <v>104.4</v>
      </c>
      <c r="L205" s="66">
        <v>104.4</v>
      </c>
      <c r="M205" s="66">
        <v>104.3</v>
      </c>
      <c r="N205" s="66">
        <v>104.4</v>
      </c>
      <c r="O205" s="66">
        <v>104.4</v>
      </c>
    </row>
    <row r="206" spans="2:15" s="73" customFormat="1" ht="31.5">
      <c r="B206" s="31" t="s">
        <v>263</v>
      </c>
      <c r="C206" s="33"/>
      <c r="D206" s="61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</row>
    <row r="207" spans="2:15" s="73" customFormat="1" ht="40.5" customHeight="1">
      <c r="B207" s="37" t="s">
        <v>264</v>
      </c>
      <c r="C207" s="33" t="s">
        <v>265</v>
      </c>
      <c r="D207" s="61">
        <v>225</v>
      </c>
      <c r="E207" s="66">
        <v>223</v>
      </c>
      <c r="F207" s="66">
        <v>223</v>
      </c>
      <c r="G207" s="66">
        <v>220</v>
      </c>
      <c r="H207" s="66">
        <v>223</v>
      </c>
      <c r="I207" s="66">
        <v>225</v>
      </c>
      <c r="J207" s="66">
        <v>218</v>
      </c>
      <c r="K207" s="66">
        <v>223</v>
      </c>
      <c r="L207" s="66">
        <v>225</v>
      </c>
      <c r="M207" s="66">
        <v>218</v>
      </c>
      <c r="N207" s="66">
        <v>220</v>
      </c>
      <c r="O207" s="66">
        <v>225</v>
      </c>
    </row>
    <row r="208" spans="2:15" s="73" customFormat="1" ht="31.5">
      <c r="B208" s="37" t="s">
        <v>266</v>
      </c>
      <c r="C208" s="77" t="s">
        <v>5</v>
      </c>
      <c r="D208" s="78">
        <v>1.06</v>
      </c>
      <c r="E208" s="66">
        <v>1.0349999999999999</v>
      </c>
      <c r="F208" s="66">
        <v>1.0349999999999999</v>
      </c>
      <c r="G208" s="66">
        <v>0.99</v>
      </c>
      <c r="H208" s="66">
        <v>1</v>
      </c>
      <c r="I208" s="66">
        <v>1.5</v>
      </c>
      <c r="J208" s="66">
        <v>1.0349999999999999</v>
      </c>
      <c r="K208" s="66">
        <v>1.4</v>
      </c>
      <c r="L208" s="66">
        <v>1.5</v>
      </c>
      <c r="M208" s="66">
        <v>1.0349999999999999</v>
      </c>
      <c r="N208" s="66">
        <v>1.3</v>
      </c>
      <c r="O208" s="66">
        <v>1.4</v>
      </c>
    </row>
    <row r="209" spans="2:15" s="73" customFormat="1" ht="15.75">
      <c r="B209" s="37" t="s">
        <v>267</v>
      </c>
      <c r="C209" s="33" t="s">
        <v>268</v>
      </c>
      <c r="D209" s="61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</row>
    <row r="210" spans="2:15" s="73" customFormat="1" ht="15.75">
      <c r="B210" s="31" t="s">
        <v>269</v>
      </c>
      <c r="C210" s="33"/>
      <c r="D210" s="61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</row>
    <row r="211" spans="2:15" s="73" customFormat="1" ht="15.75">
      <c r="B211" s="47" t="s">
        <v>35</v>
      </c>
      <c r="C211" s="32" t="s">
        <v>270</v>
      </c>
      <c r="D211" s="61">
        <v>12.016</v>
      </c>
      <c r="E211" s="66">
        <v>11.465999999999999</v>
      </c>
      <c r="F211" s="66">
        <v>11.443</v>
      </c>
      <c r="G211" s="66">
        <v>11.45</v>
      </c>
      <c r="H211" s="66">
        <v>11.43</v>
      </c>
      <c r="I211" s="66">
        <v>11.4</v>
      </c>
      <c r="J211" s="66">
        <v>11.443</v>
      </c>
      <c r="K211" s="66">
        <v>11.4</v>
      </c>
      <c r="L211" s="66">
        <v>11.34</v>
      </c>
      <c r="M211" s="66">
        <v>11.443</v>
      </c>
      <c r="N211" s="66">
        <v>11.35</v>
      </c>
      <c r="O211" s="66">
        <v>11.32</v>
      </c>
    </row>
    <row r="212" spans="2:15" s="73" customFormat="1" ht="15.75">
      <c r="B212" s="90" t="s">
        <v>271</v>
      </c>
      <c r="C212" s="32" t="s">
        <v>270</v>
      </c>
      <c r="D212" s="61">
        <v>6.49</v>
      </c>
      <c r="E212" s="66">
        <v>6.6</v>
      </c>
      <c r="F212" s="66">
        <v>6.5890000000000004</v>
      </c>
      <c r="G212" s="66">
        <v>6.5</v>
      </c>
      <c r="H212" s="66">
        <v>6.6</v>
      </c>
      <c r="I212" s="66">
        <v>6.9</v>
      </c>
      <c r="J212" s="66">
        <v>6.5</v>
      </c>
      <c r="K212" s="66">
        <v>6.6</v>
      </c>
      <c r="L212" s="66">
        <v>6.9</v>
      </c>
      <c r="M212" s="66">
        <v>6.5</v>
      </c>
      <c r="N212" s="66">
        <v>6.6</v>
      </c>
      <c r="O212" s="66">
        <v>6.9</v>
      </c>
    </row>
    <row r="213" spans="2:15" s="73" customFormat="1" ht="15.75">
      <c r="B213" s="91" t="s">
        <v>272</v>
      </c>
      <c r="C213" s="32" t="s">
        <v>270</v>
      </c>
      <c r="D213" s="61">
        <v>2.4700000000000002</v>
      </c>
      <c r="E213" s="66">
        <v>2.323</v>
      </c>
      <c r="F213" s="66">
        <v>2.2799999999999998</v>
      </c>
      <c r="G213" s="66">
        <v>2.5</v>
      </c>
      <c r="H213" s="66">
        <v>2.2799999999999998</v>
      </c>
      <c r="I213" s="66">
        <v>2.2799999999999998</v>
      </c>
      <c r="J213" s="66">
        <v>2.5</v>
      </c>
      <c r="K213" s="66">
        <v>2.2799999999999998</v>
      </c>
      <c r="L213" s="66">
        <v>2.2799999999999998</v>
      </c>
      <c r="M213" s="66">
        <v>2.2799999999999998</v>
      </c>
      <c r="N213" s="66">
        <v>2.2799999999999998</v>
      </c>
      <c r="O213" s="66">
        <v>2.2799999999999998</v>
      </c>
    </row>
    <row r="214" spans="2:15" s="73" customFormat="1" ht="47.25">
      <c r="B214" s="47" t="s">
        <v>273</v>
      </c>
      <c r="C214" s="32" t="s">
        <v>274</v>
      </c>
      <c r="D214" s="61">
        <v>10</v>
      </c>
      <c r="E214" s="66">
        <v>10.7</v>
      </c>
      <c r="F214" s="66">
        <v>10.8</v>
      </c>
      <c r="G214" s="66">
        <v>10.5</v>
      </c>
      <c r="H214" s="66">
        <v>10.8</v>
      </c>
      <c r="I214" s="66">
        <v>10.9</v>
      </c>
      <c r="J214" s="66">
        <v>10.5</v>
      </c>
      <c r="K214" s="66">
        <v>10.8</v>
      </c>
      <c r="L214" s="66">
        <v>10.9</v>
      </c>
      <c r="M214" s="66">
        <v>10.5</v>
      </c>
      <c r="N214" s="66">
        <v>10.8</v>
      </c>
      <c r="O214" s="66">
        <v>10.9</v>
      </c>
    </row>
    <row r="215" spans="2:15" s="73" customFormat="1" ht="47.25">
      <c r="B215" s="47" t="s">
        <v>275</v>
      </c>
      <c r="C215" s="32" t="s">
        <v>276</v>
      </c>
      <c r="D215" s="61">
        <v>16.399999999999999</v>
      </c>
      <c r="E215" s="66">
        <v>14</v>
      </c>
      <c r="F215" s="66">
        <v>13.5</v>
      </c>
      <c r="G215" s="66">
        <v>15.3</v>
      </c>
      <c r="H215" s="66">
        <v>13.5</v>
      </c>
      <c r="I215" s="66">
        <v>12.7</v>
      </c>
      <c r="J215" s="66">
        <v>15.3</v>
      </c>
      <c r="K215" s="66">
        <v>13.5</v>
      </c>
      <c r="L215" s="66">
        <v>12.7</v>
      </c>
      <c r="M215" s="66">
        <v>15.3</v>
      </c>
      <c r="N215" s="66">
        <v>13.5</v>
      </c>
      <c r="O215" s="66">
        <v>12.7</v>
      </c>
    </row>
    <row r="216" spans="2:15" s="73" customFormat="1" ht="31.5">
      <c r="B216" s="47" t="s">
        <v>277</v>
      </c>
      <c r="C216" s="32" t="s">
        <v>278</v>
      </c>
      <c r="D216" s="87" t="s">
        <v>279</v>
      </c>
      <c r="E216" s="66" t="s">
        <v>280</v>
      </c>
      <c r="F216" s="66" t="s">
        <v>281</v>
      </c>
      <c r="G216" s="66" t="s">
        <v>280</v>
      </c>
      <c r="H216" s="66" t="s">
        <v>281</v>
      </c>
      <c r="I216" s="66">
        <v>-2.5</v>
      </c>
      <c r="J216" s="66" t="s">
        <v>280</v>
      </c>
      <c r="K216" s="66" t="s">
        <v>281</v>
      </c>
      <c r="L216" s="66">
        <v>-2.5</v>
      </c>
      <c r="M216" s="66" t="s">
        <v>280</v>
      </c>
      <c r="N216" s="66" t="s">
        <v>281</v>
      </c>
      <c r="O216" s="66">
        <v>-2.5</v>
      </c>
    </row>
    <row r="217" spans="2:15" s="73" customFormat="1" ht="41.25" customHeight="1">
      <c r="B217" s="47" t="s">
        <v>282</v>
      </c>
      <c r="C217" s="32" t="s">
        <v>283</v>
      </c>
      <c r="D217" s="61" t="s">
        <v>284</v>
      </c>
      <c r="E217" s="83">
        <v>1.7999999999999999E-2</v>
      </c>
      <c r="F217" s="66" t="s">
        <v>285</v>
      </c>
      <c r="G217" s="66" t="s">
        <v>286</v>
      </c>
      <c r="H217" s="66" t="s">
        <v>287</v>
      </c>
      <c r="I217" s="66" t="s">
        <v>285</v>
      </c>
      <c r="J217" s="66" t="s">
        <v>286</v>
      </c>
      <c r="K217" s="66" t="s">
        <v>287</v>
      </c>
      <c r="L217" s="66" t="s">
        <v>285</v>
      </c>
      <c r="M217" s="66" t="s">
        <v>286</v>
      </c>
      <c r="N217" s="66" t="s">
        <v>287</v>
      </c>
      <c r="O217" s="66" t="s">
        <v>285</v>
      </c>
    </row>
    <row r="218" spans="2:15" s="73" customFormat="1" ht="15.75">
      <c r="B218" s="40" t="s">
        <v>288</v>
      </c>
      <c r="C218" s="32"/>
      <c r="D218" s="92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</row>
    <row r="219" spans="2:15" s="73" customFormat="1" ht="31.5">
      <c r="B219" s="93" t="s">
        <v>289</v>
      </c>
      <c r="C219" s="32" t="s">
        <v>290</v>
      </c>
      <c r="D219" s="92">
        <v>76424.2</v>
      </c>
      <c r="E219" s="66">
        <v>89188</v>
      </c>
      <c r="F219" s="66">
        <f>E219*106.4%</f>
        <v>94896.032000000007</v>
      </c>
      <c r="G219" s="66">
        <f>F219*106%</f>
        <v>100589.79392000001</v>
      </c>
      <c r="H219" s="66">
        <f>F219*107%</f>
        <v>101538.75424000001</v>
      </c>
      <c r="I219" s="66">
        <f>F219*107.6%</f>
        <v>102108.13043199999</v>
      </c>
      <c r="J219" s="66">
        <f>G219*106%</f>
        <v>106625.18155520002</v>
      </c>
      <c r="K219" s="66">
        <f>H219*106.7%</f>
        <v>108341.85077408</v>
      </c>
      <c r="L219" s="66">
        <f>I219*106.7%</f>
        <v>108949.37517094398</v>
      </c>
      <c r="M219" s="66">
        <f>J219*106%</f>
        <v>113022.69244851203</v>
      </c>
      <c r="N219" s="66">
        <f>K219*106.7%</f>
        <v>115600.75477594335</v>
      </c>
      <c r="O219" s="66">
        <f>L219*106.7%</f>
        <v>116248.98330739723</v>
      </c>
    </row>
    <row r="220" spans="2:15" s="73" customFormat="1" ht="31.5">
      <c r="B220" s="93" t="s">
        <v>291</v>
      </c>
      <c r="C220" s="94" t="s">
        <v>30</v>
      </c>
      <c r="D220" s="92">
        <v>102.8</v>
      </c>
      <c r="E220" s="66">
        <f>E219/D219*100</f>
        <v>116.70125431473278</v>
      </c>
      <c r="F220" s="66">
        <f>F219/E219*100</f>
        <v>106.4</v>
      </c>
      <c r="G220" s="66">
        <f>G219/F219*100</f>
        <v>106</v>
      </c>
      <c r="H220" s="66">
        <f>H219/F219*100</f>
        <v>107</v>
      </c>
      <c r="I220" s="66">
        <f t="shared" ref="I220:O220" si="26">I219/F219*100</f>
        <v>107.59999999999998</v>
      </c>
      <c r="J220" s="66">
        <f t="shared" si="26"/>
        <v>106</v>
      </c>
      <c r="K220" s="66">
        <f t="shared" si="26"/>
        <v>106.69999999999999</v>
      </c>
      <c r="L220" s="66">
        <f t="shared" si="26"/>
        <v>106.69999999999999</v>
      </c>
      <c r="M220" s="66">
        <f t="shared" si="26"/>
        <v>106</v>
      </c>
      <c r="N220" s="66">
        <f t="shared" si="26"/>
        <v>106.69999999999999</v>
      </c>
      <c r="O220" s="66">
        <f t="shared" si="26"/>
        <v>106.69999999999999</v>
      </c>
    </row>
    <row r="221" spans="2:15" s="73" customFormat="1" ht="29.25" customHeight="1">
      <c r="B221" s="93" t="s">
        <v>292</v>
      </c>
      <c r="C221" s="94" t="s">
        <v>3</v>
      </c>
      <c r="D221" s="95">
        <v>2.5</v>
      </c>
      <c r="E221" s="95">
        <v>1.8</v>
      </c>
      <c r="F221" s="95">
        <v>1.8</v>
      </c>
      <c r="G221" s="95">
        <v>2.5</v>
      </c>
      <c r="H221" s="95">
        <v>1.8</v>
      </c>
      <c r="I221" s="95">
        <v>1.7</v>
      </c>
      <c r="J221" s="95">
        <v>2.5</v>
      </c>
      <c r="K221" s="95">
        <v>1.8</v>
      </c>
      <c r="L221" s="95">
        <v>1.7</v>
      </c>
      <c r="M221" s="95">
        <v>2.5</v>
      </c>
      <c r="N221" s="95">
        <v>1.8</v>
      </c>
      <c r="O221" s="95">
        <v>1.7</v>
      </c>
    </row>
    <row r="222" spans="2:15" s="73" customFormat="1" ht="31.5">
      <c r="B222" s="93" t="s">
        <v>293</v>
      </c>
      <c r="C222" s="32" t="s">
        <v>5</v>
      </c>
      <c r="D222" s="95">
        <v>0.18</v>
      </c>
      <c r="E222" s="95">
        <v>0.13200000000000001</v>
      </c>
      <c r="F222" s="95">
        <v>0.129</v>
      </c>
      <c r="G222" s="95">
        <v>0.2</v>
      </c>
      <c r="H222" s="95">
        <v>0.1</v>
      </c>
      <c r="I222" s="95">
        <v>0.1</v>
      </c>
      <c r="J222" s="95">
        <v>0.2</v>
      </c>
      <c r="K222" s="95">
        <v>0.1</v>
      </c>
      <c r="L222" s="95">
        <v>0.1</v>
      </c>
      <c r="M222" s="95">
        <v>0.2</v>
      </c>
      <c r="N222" s="95">
        <v>0.1</v>
      </c>
      <c r="O222" s="95">
        <v>0.1</v>
      </c>
    </row>
    <row r="223" spans="2:15" s="73" customFormat="1" ht="15.75">
      <c r="B223" s="93" t="s">
        <v>28</v>
      </c>
      <c r="C223" s="32" t="s">
        <v>159</v>
      </c>
      <c r="D223" s="95">
        <v>5694.8</v>
      </c>
      <c r="E223" s="95">
        <f>D223*112.7%</f>
        <v>6418.0396000000001</v>
      </c>
      <c r="F223" s="95">
        <f>E223*108.6%</f>
        <v>6969.991005599999</v>
      </c>
      <c r="G223" s="95">
        <f>F223*1.06</f>
        <v>7388.1904659359989</v>
      </c>
      <c r="H223" s="95">
        <f>F223*1.067</f>
        <v>7436.9804029751986</v>
      </c>
      <c r="I223" s="95">
        <f>F223*1.07</f>
        <v>7457.8903759919995</v>
      </c>
      <c r="J223" s="95">
        <f>G223*106%</f>
        <v>7831.481893892159</v>
      </c>
      <c r="K223" s="95">
        <f>H223*106.7%</f>
        <v>7935.2580899745362</v>
      </c>
      <c r="L223" s="95">
        <f>I223*107%</f>
        <v>7979.9427023114395</v>
      </c>
      <c r="M223" s="95">
        <f>J223*106%</f>
        <v>8301.3708075256891</v>
      </c>
      <c r="N223" s="95">
        <f>K223*106.7%</f>
        <v>8466.9203820028306</v>
      </c>
      <c r="O223" s="95">
        <f>L223*107%</f>
        <v>8538.5386914732408</v>
      </c>
    </row>
    <row r="224" spans="2:15" s="73" customFormat="1" ht="15.75">
      <c r="B224" s="93" t="s">
        <v>29</v>
      </c>
      <c r="C224" s="32" t="s">
        <v>30</v>
      </c>
      <c r="D224" s="95">
        <v>106.8</v>
      </c>
      <c r="E224" s="95">
        <f>E223/D223*100</f>
        <v>112.7</v>
      </c>
      <c r="F224" s="95">
        <f>F223/E223*100</f>
        <v>108.59999999999998</v>
      </c>
      <c r="G224" s="95">
        <f>G223/$F$223*100</f>
        <v>106</v>
      </c>
      <c r="H224" s="95">
        <f>H223/$F$223*100</f>
        <v>106.69999999999999</v>
      </c>
      <c r="I224" s="95">
        <f>I223/$F$223*100</f>
        <v>107</v>
      </c>
      <c r="J224" s="95">
        <f t="shared" ref="J224:O224" si="27">J223/G223*100</f>
        <v>106</v>
      </c>
      <c r="K224" s="95">
        <f t="shared" si="27"/>
        <v>106.69999999999999</v>
      </c>
      <c r="L224" s="95">
        <f t="shared" si="27"/>
        <v>107</v>
      </c>
      <c r="M224" s="95">
        <f t="shared" si="27"/>
        <v>106</v>
      </c>
      <c r="N224" s="95">
        <f t="shared" si="27"/>
        <v>106.69999999999999</v>
      </c>
      <c r="O224" s="95">
        <f t="shared" si="27"/>
        <v>107</v>
      </c>
    </row>
    <row r="225" spans="2:2" s="73" customFormat="1" ht="15.75"/>
    <row r="226" spans="2:2" s="73" customFormat="1" ht="47.25">
      <c r="B226" s="96" t="s">
        <v>294</v>
      </c>
    </row>
    <row r="227" spans="2:2" s="12" customFormat="1"/>
    <row r="228" spans="2:2" s="12" customFormat="1"/>
    <row r="229" spans="2:2" s="12" customFormat="1"/>
    <row r="230" spans="2:2" s="12" customFormat="1"/>
    <row r="231" spans="2:2" s="12" customFormat="1"/>
    <row r="232" spans="2:2" s="12" customFormat="1"/>
    <row r="233" spans="2:2" s="12" customFormat="1"/>
    <row r="234" spans="2:2" s="12" customFormat="1"/>
    <row r="235" spans="2:2" s="12" customFormat="1"/>
    <row r="236" spans="2:2" s="12" customFormat="1"/>
    <row r="237" spans="2:2" s="12" customFormat="1"/>
  </sheetData>
  <mergeCells count="12">
    <mergeCell ref="J6:L6"/>
    <mergeCell ref="M6:O6"/>
    <mergeCell ref="A3:M3"/>
    <mergeCell ref="D5:E5"/>
    <mergeCell ref="A1:O1"/>
    <mergeCell ref="B5:B8"/>
    <mergeCell ref="C5:C8"/>
    <mergeCell ref="G5:O5"/>
    <mergeCell ref="D6:D8"/>
    <mergeCell ref="E6:E8"/>
    <mergeCell ref="F6:F8"/>
    <mergeCell ref="G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СЭР</vt:lpstr>
      <vt:lpstr>Лист1</vt:lpstr>
      <vt:lpstr>СЭР!Заголовки_для_печати</vt:lpstr>
    </vt:vector>
  </TitlesOfParts>
  <Company>Администрация Томской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Федоровская</dc:creator>
  <cp:lastModifiedBy>Сысолина</cp:lastModifiedBy>
  <cp:lastPrinted>2023-10-14T05:54:55Z</cp:lastPrinted>
  <dcterms:created xsi:type="dcterms:W3CDTF">2003-06-05T08:58:03Z</dcterms:created>
  <dcterms:modified xsi:type="dcterms:W3CDTF">2023-10-14T05:54:57Z</dcterms:modified>
</cp:coreProperties>
</file>